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bwenergynorway.sharepoint.com/sites/BWE_Finance/Companies/Corporate/Consolidations/Monthly reporting/2024/Q1/"/>
    </mc:Choice>
  </mc:AlternateContent>
  <xr:revisionPtr revIDLastSave="0" documentId="8_{DCCED912-37E8-4DBE-93FD-E0F05F6C1A73}" xr6:coauthVersionLast="47" xr6:coauthVersionMax="47" xr10:uidLastSave="{00000000-0000-0000-0000-000000000000}"/>
  <bookViews>
    <workbookView xWindow="-28920" yWindow="-1470" windowWidth="29040" windowHeight="15720" tabRatio="939" xr2:uid="{00000000-000D-0000-FFFF-FFFF00000000}"/>
  </bookViews>
  <sheets>
    <sheet name="Income statement" sheetId="9" r:id="rId1"/>
    <sheet name="Balance sheet" sheetId="8" r:id="rId2"/>
    <sheet name="Cashflow" sheetId="7" r:id="rId3"/>
  </sheets>
  <definedNames>
    <definedName name="_xlnm.Print_Area" localSheetId="1">'Balance sheet'!$A$2:$N$45</definedName>
    <definedName name="_xlnm.Print_Area" localSheetId="2">Cashflow!$A$2:$Q$35</definedName>
    <definedName name="_xlnm.Print_Area" localSheetId="0">'Income statement'!$A$2:$Q$31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6" i="9" l="1"/>
  <c r="S40" i="8"/>
  <c r="T40" i="8"/>
  <c r="Y29" i="7" l="1"/>
  <c r="Y19" i="7"/>
  <c r="T33" i="8"/>
  <c r="T24" i="8"/>
  <c r="T21" i="8"/>
  <c r="T17" i="8"/>
  <c r="T10" i="8"/>
  <c r="Y16" i="9"/>
  <c r="Y5" i="9"/>
  <c r="Y11" i="9" s="1"/>
  <c r="W11" i="9"/>
  <c r="X20" i="9"/>
  <c r="X13" i="7"/>
  <c r="X11" i="7"/>
  <c r="X10" i="7"/>
  <c r="X8" i="7"/>
  <c r="X7" i="7"/>
  <c r="X6" i="7"/>
  <c r="X5" i="7"/>
  <c r="X4" i="7"/>
  <c r="X3" i="7"/>
  <c r="X16" i="9"/>
  <c r="X27" i="7"/>
  <c r="X26" i="7"/>
  <c r="S7" i="8"/>
  <c r="W29" i="7"/>
  <c r="W19" i="7"/>
  <c r="X25" i="7"/>
  <c r="X24" i="7"/>
  <c r="X23" i="7"/>
  <c r="X22" i="7"/>
  <c r="X21" i="7"/>
  <c r="X18" i="7"/>
  <c r="X17" i="7"/>
  <c r="Y18" i="9" l="1"/>
  <c r="Y21" i="9" s="1"/>
  <c r="Y23" i="9" s="1"/>
  <c r="Y3" i="7"/>
  <c r="Y14" i="7" s="1"/>
  <c r="Y31" i="7" s="1"/>
  <c r="T42" i="8"/>
  <c r="T44" i="8" s="1"/>
  <c r="T19" i="8"/>
  <c r="Y27" i="9"/>
  <c r="X15" i="9"/>
  <c r="X4" i="9"/>
  <c r="W15" i="9"/>
  <c r="W5" i="9"/>
  <c r="W14" i="9"/>
  <c r="X13" i="9"/>
  <c r="X10" i="9"/>
  <c r="X9" i="9"/>
  <c r="X8" i="9"/>
  <c r="X7" i="9"/>
  <c r="X3" i="9"/>
  <c r="W16" i="9" l="1"/>
  <c r="W18" i="9" s="1"/>
  <c r="W21" i="9" s="1"/>
  <c r="W23" i="9" s="1"/>
  <c r="W33" i="7" l="1"/>
  <c r="S24" i="8" l="1"/>
  <c r="L29" i="8" l="1"/>
  <c r="L33" i="8" s="1"/>
  <c r="L42" i="8" s="1"/>
  <c r="L44" i="8" s="1"/>
  <c r="L5" i="8"/>
  <c r="L10" i="8" s="1"/>
  <c r="L19" i="8" s="1"/>
  <c r="M29" i="8"/>
  <c r="M33" i="8" s="1"/>
  <c r="M42" i="8" s="1"/>
  <c r="M44" i="8" s="1"/>
  <c r="M5" i="8"/>
  <c r="M10" i="8" s="1"/>
  <c r="M19" i="8" s="1"/>
  <c r="N29" i="8"/>
  <c r="N5" i="8"/>
  <c r="O29" i="8"/>
  <c r="O5" i="8"/>
  <c r="X29" i="7"/>
  <c r="X19" i="7"/>
  <c r="S33" i="8" l="1"/>
  <c r="S21" i="8"/>
  <c r="S17" i="8"/>
  <c r="S10" i="8"/>
  <c r="X5" i="9"/>
  <c r="X11" i="9" s="1"/>
  <c r="T29" i="7"/>
  <c r="T19" i="7"/>
  <c r="P40" i="8"/>
  <c r="P33" i="8"/>
  <c r="P24" i="8"/>
  <c r="P21" i="8"/>
  <c r="P17" i="8"/>
  <c r="P10" i="8"/>
  <c r="T16" i="9"/>
  <c r="T5" i="9"/>
  <c r="T11" i="9" s="1"/>
  <c r="S42" i="8" l="1"/>
  <c r="S44" i="8" s="1"/>
  <c r="S19" i="8"/>
  <c r="X18" i="9"/>
  <c r="T18" i="9"/>
  <c r="T21" i="9" s="1"/>
  <c r="T23" i="9" s="1"/>
  <c r="P42" i="8"/>
  <c r="P44" i="8" s="1"/>
  <c r="P19" i="8"/>
  <c r="X21" i="9" l="1"/>
  <c r="X23" i="9" s="1"/>
  <c r="T26" i="9"/>
  <c r="T27" i="9"/>
  <c r="T3" i="7"/>
  <c r="T14" i="7" s="1"/>
  <c r="T31" i="7" s="1"/>
  <c r="N25" i="7"/>
  <c r="R15" i="9" l="1"/>
  <c r="S15" i="9" s="1"/>
  <c r="S28" i="7"/>
  <c r="S24" i="7"/>
  <c r="S23" i="7"/>
  <c r="S22" i="7"/>
  <c r="S21" i="7"/>
  <c r="S17" i="7"/>
  <c r="S19" i="7" s="1"/>
  <c r="S16" i="7"/>
  <c r="S11" i="7"/>
  <c r="S10" i="7"/>
  <c r="S8" i="7"/>
  <c r="S6" i="7"/>
  <c r="S5" i="7"/>
  <c r="R29" i="7"/>
  <c r="R19" i="7"/>
  <c r="S20" i="9"/>
  <c r="S14" i="9"/>
  <c r="S13" i="9"/>
  <c r="S10" i="9"/>
  <c r="S9" i="9"/>
  <c r="S8" i="9"/>
  <c r="S7" i="9"/>
  <c r="S4" i="9"/>
  <c r="S3" i="9"/>
  <c r="R5" i="9"/>
  <c r="R11" i="9" s="1"/>
  <c r="O40" i="8"/>
  <c r="O33" i="8"/>
  <c r="O24" i="8"/>
  <c r="O21" i="8"/>
  <c r="O17" i="8"/>
  <c r="O10" i="8"/>
  <c r="Q33" i="7"/>
  <c r="O26" i="9"/>
  <c r="O27" i="9"/>
  <c r="H30" i="7"/>
  <c r="Q19" i="7"/>
  <c r="E40" i="8"/>
  <c r="F40" i="8"/>
  <c r="G40" i="8"/>
  <c r="H40" i="8"/>
  <c r="I40" i="8"/>
  <c r="J40" i="8"/>
  <c r="K40" i="8"/>
  <c r="N40" i="8"/>
  <c r="N33" i="8"/>
  <c r="Q29" i="7"/>
  <c r="N24" i="8"/>
  <c r="N21" i="8"/>
  <c r="N17" i="8"/>
  <c r="N10" i="8"/>
  <c r="Q16" i="9"/>
  <c r="Q5" i="9"/>
  <c r="Q11" i="9" s="1"/>
  <c r="Q18" i="9" s="1"/>
  <c r="Q3" i="7" s="1"/>
  <c r="Q14" i="7" s="1"/>
  <c r="M12" i="7"/>
  <c r="J12" i="7"/>
  <c r="J14" i="7" s="1"/>
  <c r="J24" i="7"/>
  <c r="J29" i="7" s="1"/>
  <c r="M16" i="7"/>
  <c r="M19" i="7" s="1"/>
  <c r="M4" i="7"/>
  <c r="N4" i="7" s="1"/>
  <c r="N5" i="7"/>
  <c r="N6" i="7"/>
  <c r="N28" i="7"/>
  <c r="N27" i="7"/>
  <c r="N23" i="7"/>
  <c r="N22" i="7"/>
  <c r="N21" i="7"/>
  <c r="N18" i="7"/>
  <c r="N17" i="7"/>
  <c r="N13" i="7"/>
  <c r="N11" i="7"/>
  <c r="N10" i="7"/>
  <c r="N9" i="7"/>
  <c r="N8" i="7"/>
  <c r="N7" i="7"/>
  <c r="M29" i="7"/>
  <c r="K10" i="8"/>
  <c r="K33" i="8"/>
  <c r="K24" i="8"/>
  <c r="K21" i="8"/>
  <c r="K17" i="8"/>
  <c r="M27" i="9"/>
  <c r="M4" i="9"/>
  <c r="N4" i="9" s="1"/>
  <c r="N20" i="9"/>
  <c r="N15" i="9"/>
  <c r="N14" i="9"/>
  <c r="N13" i="9"/>
  <c r="N10" i="9"/>
  <c r="N9" i="9"/>
  <c r="N8" i="9"/>
  <c r="N7" i="9"/>
  <c r="N3" i="9"/>
  <c r="M16" i="9"/>
  <c r="L29" i="7"/>
  <c r="L19" i="7"/>
  <c r="L14" i="7"/>
  <c r="J33" i="8"/>
  <c r="J24" i="8"/>
  <c r="J21" i="8"/>
  <c r="J17" i="8"/>
  <c r="J10" i="8"/>
  <c r="K16" i="9"/>
  <c r="K5" i="9"/>
  <c r="K11" i="9" s="1"/>
  <c r="K18" i="9" s="1"/>
  <c r="K21" i="9" s="1"/>
  <c r="I33" i="8"/>
  <c r="I24" i="8"/>
  <c r="I21" i="8"/>
  <c r="I17" i="8"/>
  <c r="I10" i="8"/>
  <c r="K29" i="7"/>
  <c r="K19" i="7"/>
  <c r="K14" i="7"/>
  <c r="H10" i="8"/>
  <c r="G10" i="8"/>
  <c r="F10" i="8"/>
  <c r="B10" i="8"/>
  <c r="J19" i="7"/>
  <c r="H33" i="8"/>
  <c r="H24" i="8"/>
  <c r="H21" i="8"/>
  <c r="H17" i="8"/>
  <c r="J16" i="9"/>
  <c r="J5" i="9"/>
  <c r="J11" i="9" s="1"/>
  <c r="C26" i="9"/>
  <c r="G26" i="9"/>
  <c r="G27" i="9" s="1"/>
  <c r="F26" i="9"/>
  <c r="F27" i="9"/>
  <c r="H33" i="7"/>
  <c r="I24" i="7"/>
  <c r="I29" i="7" s="1"/>
  <c r="I16" i="7"/>
  <c r="I19" i="7" s="1"/>
  <c r="H19" i="7" s="1"/>
  <c r="G17" i="8"/>
  <c r="G21" i="8"/>
  <c r="G24" i="8"/>
  <c r="G33" i="8"/>
  <c r="H24" i="9"/>
  <c r="H20" i="9"/>
  <c r="H15" i="9"/>
  <c r="H14" i="9"/>
  <c r="H13" i="9"/>
  <c r="H10" i="9"/>
  <c r="H9" i="9"/>
  <c r="H8" i="9"/>
  <c r="H7" i="9"/>
  <c r="H4" i="9"/>
  <c r="H3" i="9"/>
  <c r="H28" i="7"/>
  <c r="H27" i="7"/>
  <c r="H23" i="7"/>
  <c r="H22" i="7"/>
  <c r="H21" i="7"/>
  <c r="H18" i="7"/>
  <c r="H17" i="7"/>
  <c r="H13" i="7"/>
  <c r="H12" i="7"/>
  <c r="H8" i="7"/>
  <c r="H9" i="7"/>
  <c r="H6" i="7"/>
  <c r="H5" i="7"/>
  <c r="H10" i="7"/>
  <c r="H4" i="7"/>
  <c r="H7" i="7"/>
  <c r="I14" i="7"/>
  <c r="D6" i="8"/>
  <c r="D10" i="8" s="1"/>
  <c r="D13" i="8"/>
  <c r="D17" i="8" s="1"/>
  <c r="F17" i="8"/>
  <c r="F21" i="8"/>
  <c r="F24" i="8"/>
  <c r="F33" i="8"/>
  <c r="I16" i="9"/>
  <c r="I5" i="9"/>
  <c r="B26" i="9"/>
  <c r="B27" i="9" s="1"/>
  <c r="I11" i="9"/>
  <c r="I18" i="9" s="1"/>
  <c r="E29" i="7"/>
  <c r="E19" i="7"/>
  <c r="E3" i="7"/>
  <c r="E14" i="7" s="1"/>
  <c r="C40" i="8"/>
  <c r="B40" i="8"/>
  <c r="D36" i="8"/>
  <c r="D40" i="8" s="1"/>
  <c r="D33" i="8"/>
  <c r="C33" i="8"/>
  <c r="B33" i="8"/>
  <c r="B42" i="8" s="1"/>
  <c r="C24" i="8"/>
  <c r="B24" i="8"/>
  <c r="D22" i="8"/>
  <c r="D24" i="8" s="1"/>
  <c r="D21" i="8"/>
  <c r="C21" i="8"/>
  <c r="B21" i="8"/>
  <c r="C17" i="8"/>
  <c r="B17" i="8"/>
  <c r="C5" i="8"/>
  <c r="C10" i="8"/>
  <c r="E16" i="9"/>
  <c r="H16" i="9" s="1"/>
  <c r="E5" i="9"/>
  <c r="E11" i="9"/>
  <c r="D15" i="9"/>
  <c r="C27" i="9"/>
  <c r="D29" i="7"/>
  <c r="D19" i="7"/>
  <c r="D14" i="7"/>
  <c r="D16" i="9"/>
  <c r="D5" i="9"/>
  <c r="D11" i="9"/>
  <c r="N12" i="7" l="1"/>
  <c r="N16" i="7"/>
  <c r="N24" i="7"/>
  <c r="H11" i="9"/>
  <c r="N16" i="9"/>
  <c r="D18" i="9"/>
  <c r="D21" i="9" s="1"/>
  <c r="D23" i="9" s="1"/>
  <c r="D26" i="9" s="1"/>
  <c r="D27" i="9" s="1"/>
  <c r="E18" i="9"/>
  <c r="E21" i="9" s="1"/>
  <c r="E23" i="9" s="1"/>
  <c r="E26" i="9" s="1"/>
  <c r="E27" i="9" s="1"/>
  <c r="H5" i="9"/>
  <c r="S5" i="9"/>
  <c r="S11" i="9" s="1"/>
  <c r="H14" i="7"/>
  <c r="D31" i="7"/>
  <c r="D34" i="7" s="1"/>
  <c r="H16" i="7"/>
  <c r="N29" i="7"/>
  <c r="H3" i="7"/>
  <c r="K31" i="7"/>
  <c r="D42" i="8"/>
  <c r="D44" i="8" s="1"/>
  <c r="H42" i="8"/>
  <c r="H44" i="8" s="1"/>
  <c r="I42" i="8"/>
  <c r="I44" i="8" s="1"/>
  <c r="J42" i="8"/>
  <c r="J44" i="8" s="1"/>
  <c r="G19" i="8"/>
  <c r="H19" i="8"/>
  <c r="C42" i="8"/>
  <c r="C44" i="8" s="1"/>
  <c r="D19" i="8"/>
  <c r="K23" i="9"/>
  <c r="K26" i="9"/>
  <c r="K27" i="9" s="1"/>
  <c r="J18" i="9"/>
  <c r="I21" i="9"/>
  <c r="M5" i="9"/>
  <c r="M11" i="9" s="1"/>
  <c r="M18" i="9" s="1"/>
  <c r="S16" i="9"/>
  <c r="I19" i="8"/>
  <c r="K42" i="8"/>
  <c r="K44" i="8" s="1"/>
  <c r="B44" i="8"/>
  <c r="F42" i="8"/>
  <c r="F44" i="8" s="1"/>
  <c r="F19" i="8"/>
  <c r="G42" i="8"/>
  <c r="G44" i="8" s="1"/>
  <c r="N42" i="8"/>
  <c r="N44" i="8" s="1"/>
  <c r="N19" i="7"/>
  <c r="B19" i="8"/>
  <c r="C19" i="8"/>
  <c r="J19" i="8"/>
  <c r="K19" i="8"/>
  <c r="N19" i="8"/>
  <c r="O42" i="8"/>
  <c r="O44" i="8" s="1"/>
  <c r="O19" i="8"/>
  <c r="Q21" i="9"/>
  <c r="Q23" i="9" s="1"/>
  <c r="Q26" i="9" s="1"/>
  <c r="Q27" i="9" s="1"/>
  <c r="L31" i="7"/>
  <c r="H29" i="7"/>
  <c r="I31" i="7"/>
  <c r="I34" i="7" s="1"/>
  <c r="N33" i="7" s="1"/>
  <c r="J31" i="7"/>
  <c r="E31" i="7"/>
  <c r="E34" i="7" s="1"/>
  <c r="S29" i="7"/>
  <c r="Q31" i="7"/>
  <c r="Q34" i="7" s="1"/>
  <c r="R33" i="7" s="1"/>
  <c r="R16" i="9"/>
  <c r="R18" i="9" s="1"/>
  <c r="S18" i="9" l="1"/>
  <c r="S21" i="9" s="1"/>
  <c r="S23" i="9" s="1"/>
  <c r="S26" i="9" s="1"/>
  <c r="S27" i="9" s="1"/>
  <c r="H18" i="9"/>
  <c r="N5" i="9"/>
  <c r="N18" i="9"/>
  <c r="J21" i="9"/>
  <c r="H21" i="9"/>
  <c r="I23" i="9"/>
  <c r="N11" i="9"/>
  <c r="M3" i="7"/>
  <c r="M21" i="9"/>
  <c r="M23" i="9" s="1"/>
  <c r="S3" i="7"/>
  <c r="S14" i="7" s="1"/>
  <c r="S31" i="7" s="1"/>
  <c r="J33" i="7"/>
  <c r="J34" i="7" s="1"/>
  <c r="K33" i="7" s="1"/>
  <c r="K34" i="7" s="1"/>
  <c r="L33" i="7" s="1"/>
  <c r="L34" i="7" s="1"/>
  <c r="M33" i="7" s="1"/>
  <c r="H31" i="7"/>
  <c r="H34" i="7" s="1"/>
  <c r="R21" i="9"/>
  <c r="R23" i="9" s="1"/>
  <c r="R26" i="9" s="1"/>
  <c r="R27" i="9" s="1"/>
  <c r="R3" i="7"/>
  <c r="R14" i="7" s="1"/>
  <c r="N3" i="7" l="1"/>
  <c r="M14" i="7"/>
  <c r="H23" i="9"/>
  <c r="H26" i="9" s="1"/>
  <c r="H27" i="9" s="1"/>
  <c r="I26" i="9"/>
  <c r="I27" i="9" s="1"/>
  <c r="J26" i="9"/>
  <c r="J27" i="9" s="1"/>
  <c r="J23" i="9"/>
  <c r="N21" i="9"/>
  <c r="N23" i="9" s="1"/>
  <c r="N26" i="9" s="1"/>
  <c r="N27" i="9" s="1"/>
  <c r="R31" i="7"/>
  <c r="M31" i="7" l="1"/>
  <c r="N14" i="7"/>
  <c r="R34" i="7"/>
  <c r="N31" i="7" l="1"/>
  <c r="N34" i="7" s="1"/>
  <c r="S33" i="7" s="1"/>
  <c r="S34" i="7" s="1"/>
  <c r="M34" i="7"/>
  <c r="T33" i="7" l="1"/>
  <c r="T34" i="7" s="1"/>
  <c r="X33" i="7"/>
  <c r="X14" i="7"/>
  <c r="X31" i="7" s="1"/>
  <c r="X34" i="7" s="1"/>
  <c r="Y33" i="7" s="1"/>
  <c r="Y34" i="7" s="1"/>
  <c r="W14" i="7" l="1"/>
  <c r="W31" i="7" s="1"/>
  <c r="W34" i="7" s="1"/>
</calcChain>
</file>

<file path=xl/sharedStrings.xml><?xml version="1.0" encoding="utf-8"?>
<sst xmlns="http://schemas.openxmlformats.org/spreadsheetml/2006/main" count="156" uniqueCount="104">
  <si>
    <t>Q3 2019</t>
  </si>
  <si>
    <t>Q4 2019</t>
  </si>
  <si>
    <t>FY 2019</t>
  </si>
  <si>
    <t>Q1 2020</t>
  </si>
  <si>
    <t>Q2 2020</t>
  </si>
  <si>
    <t>Q3 2020</t>
  </si>
  <si>
    <t>Q4 2020</t>
  </si>
  <si>
    <t>FY 2020</t>
  </si>
  <si>
    <t>Q1 2021</t>
  </si>
  <si>
    <t>Q2 2021</t>
  </si>
  <si>
    <t>Q3 2021</t>
  </si>
  <si>
    <t>Q4 2021</t>
  </si>
  <si>
    <t>FY 2021</t>
  </si>
  <si>
    <t>Q1 2022</t>
  </si>
  <si>
    <t>Q2 2022</t>
  </si>
  <si>
    <t>Q3 2022</t>
  </si>
  <si>
    <t>Q4 2022</t>
  </si>
  <si>
    <t>FY 2022</t>
  </si>
  <si>
    <t>Q1 2023</t>
  </si>
  <si>
    <t>Q2 2023</t>
  </si>
  <si>
    <t>Q3 2023</t>
  </si>
  <si>
    <t>Q4 2023</t>
  </si>
  <si>
    <t>FY 2023</t>
  </si>
  <si>
    <t>Q1 2024</t>
  </si>
  <si>
    <t>Operating revenue</t>
  </si>
  <si>
    <t>Operating expenses</t>
  </si>
  <si>
    <t>Operating profit /(loss) before depreciation/amortisation</t>
  </si>
  <si>
    <t>Depreciation</t>
  </si>
  <si>
    <t>Amortisation</t>
  </si>
  <si>
    <t>Impairment</t>
  </si>
  <si>
    <t>Gain/(loss) sale of assets</t>
  </si>
  <si>
    <t>Operating profit/(loss)</t>
  </si>
  <si>
    <t xml:space="preserve">Interest income </t>
  </si>
  <si>
    <t>Interest expense</t>
  </si>
  <si>
    <t>Other financial items</t>
  </si>
  <si>
    <t>Net financial income/(expense)</t>
  </si>
  <si>
    <t>Profit/(loss) before tax</t>
  </si>
  <si>
    <t>Income tax expense</t>
  </si>
  <si>
    <t xml:space="preserve">Net profit/(loss) for the period </t>
  </si>
  <si>
    <t>Attributable to shareholders of the parent</t>
  </si>
  <si>
    <t>Attributable to non-controlling interests</t>
  </si>
  <si>
    <t>Basic earnings/(loss) per share (USD) net *</t>
  </si>
  <si>
    <t>Diluted earnings/(loss) per share (USD) net</t>
  </si>
  <si>
    <t>ASSETS</t>
  </si>
  <si>
    <t>Property and other equipment</t>
  </si>
  <si>
    <t>Right-of-use assets</t>
  </si>
  <si>
    <t>E&amp;P tangible assets *)</t>
  </si>
  <si>
    <t>Intangible assets</t>
  </si>
  <si>
    <t>Other non-current assets</t>
  </si>
  <si>
    <t>Deferred tax assets</t>
  </si>
  <si>
    <t>Derivatives</t>
  </si>
  <si>
    <t xml:space="preserve">Total non-current assets </t>
  </si>
  <si>
    <t>Inventories</t>
  </si>
  <si>
    <t>Trade receivables and other current assets</t>
  </si>
  <si>
    <t>Cash and cash equivalents</t>
  </si>
  <si>
    <t>Assets held for sale</t>
  </si>
  <si>
    <t>Total current assets</t>
  </si>
  <si>
    <t>TOTAL ASSETS</t>
  </si>
  <si>
    <t>EQUITY AND LIABILITIES</t>
  </si>
  <si>
    <t>Shareholders' equity</t>
  </si>
  <si>
    <t>Non-controlling interests</t>
  </si>
  <si>
    <t>Total equity</t>
  </si>
  <si>
    <t>Long-term related parties payables</t>
  </si>
  <si>
    <t>Interest-bearing non-current debt</t>
  </si>
  <si>
    <t>Deferred tax liabilities</t>
  </si>
  <si>
    <t>Asset retirement obligations *)</t>
  </si>
  <si>
    <t>Long-term lease liabilities</t>
  </si>
  <si>
    <t>Other non-current liabilities</t>
  </si>
  <si>
    <t>Total non-current liabilities</t>
  </si>
  <si>
    <t>Interest-bearing current debt</t>
  </si>
  <si>
    <t>Trade and other payables</t>
  </si>
  <si>
    <t>Short-term lease liabilities</t>
  </si>
  <si>
    <t>Income tax liabilities</t>
  </si>
  <si>
    <t>Total current liabilities</t>
  </si>
  <si>
    <t>Total liabilities</t>
  </si>
  <si>
    <t>TOTAL EQUITY AND LIABILITIES</t>
  </si>
  <si>
    <t>*) Restated 2022 figure due to a policy change affecting ARO</t>
  </si>
  <si>
    <t>Profit/(loss) before taxes</t>
  </si>
  <si>
    <t>Depreciation and amortisation</t>
  </si>
  <si>
    <t>Change in fair value of derivatives</t>
  </si>
  <si>
    <t>Unrealised currency exchange loss/(gain)</t>
  </si>
  <si>
    <t>Add back of net interest expense</t>
  </si>
  <si>
    <t>Changes in ARO through income statement</t>
  </si>
  <si>
    <t>Loss/ (gain) on sale of property, plant and equipment</t>
  </si>
  <si>
    <t>Share-based payment expense</t>
  </si>
  <si>
    <t>Changes in working capital, other balance sheet items and items related to operating activities</t>
  </si>
  <si>
    <t>Taxes paid in kind</t>
  </si>
  <si>
    <t>Net cash flow from operating activities</t>
  </si>
  <si>
    <t>Investment in property, plant and equipment and intangible assets</t>
  </si>
  <si>
    <t>Proceeds from disposal of property, plant and equipment</t>
  </si>
  <si>
    <t>Interest received</t>
  </si>
  <si>
    <t>Net cash flow from investing activities</t>
  </si>
  <si>
    <t>Proceeds from interest-bearing debt</t>
  </si>
  <si>
    <t>Repayment of interest-bearing debt</t>
  </si>
  <si>
    <t>Proceeds from share issue</t>
  </si>
  <si>
    <t>Net transaction costs on issue of shares</t>
  </si>
  <si>
    <t xml:space="preserve">Transaction costs related to loans and borrowings </t>
  </si>
  <si>
    <t>Interest paid</t>
  </si>
  <si>
    <t>Payment of lease liabilities</t>
  </si>
  <si>
    <t>Proceeds from transactions with non-controlling interests</t>
  </si>
  <si>
    <t>Net cash flow from financing activities</t>
  </si>
  <si>
    <t>Net change in cash and cash equivalents</t>
  </si>
  <si>
    <t>Cash and cash equivalents at beginning of period</t>
  </si>
  <si>
    <t>Cash and cash equivalents at end of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</si>
</sst>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#,##0.0_);\(#,##0.0\)"/>
    <numFmt numFmtId="167" formatCode="_-* #,##0.0_-;\-* #,##0.0_-;_-* &quot;-&quot;??_-;_-@_-"/>
    <numFmt numFmtId="168" formatCode="_(* #,##0.0_);_(* \(#,##0.0\);_(* &quot;-&quot;??_);_(@_)"/>
    <numFmt numFmtId="169" formatCode="[$-414]mmm/\ yy;@"/>
    <numFmt numFmtId="170" formatCode="_-* #,##0_-;\-* #,##0_-;_-* &quot;-&quot;??_-;_-@_-"/>
    <numFmt numFmtId="171" formatCode="_-* #,##0.000000000_-;\-* #,##0.0000000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A98F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9"/>
      <color rgb="FFFF00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1E6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169" fontId="5" fillId="0" borderId="0"/>
    <xf numFmtId="43" fontId="5" fillId="0" borderId="0" applyFont="0" applyFill="0" applyBorder="0" applyAlignment="0" applyProtection="0"/>
    <xf numFmtId="169" fontId="5" fillId="0" borderId="0"/>
    <xf numFmtId="169" fontId="7" fillId="0" borderId="0"/>
    <xf numFmtId="169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/>
    <xf numFmtId="169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0" fontId="2" fillId="0" borderId="0" xfId="0" applyFont="1"/>
    <xf numFmtId="0" fontId="12" fillId="0" borderId="0" xfId="0" applyFont="1" applyAlignment="1">
      <alignment vertical="center" readingOrder="1"/>
    </xf>
    <xf numFmtId="0" fontId="6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0" applyFont="1" applyAlignment="1">
      <alignment readingOrder="1"/>
    </xf>
    <xf numFmtId="170" fontId="9" fillId="0" borderId="0" xfId="1" applyNumberFormat="1" applyFont="1" applyBorder="1" applyAlignment="1">
      <alignment vertical="center" readingOrder="1"/>
    </xf>
    <xf numFmtId="0" fontId="8" fillId="0" borderId="0" xfId="0" applyFont="1" applyAlignment="1">
      <alignment horizontal="right" vertical="center" readingOrder="1"/>
    </xf>
    <xf numFmtId="0" fontId="15" fillId="0" borderId="0" xfId="3" applyFont="1" applyAlignment="1">
      <alignment vertical="center" readingOrder="1"/>
    </xf>
    <xf numFmtId="0" fontId="15" fillId="2" borderId="0" xfId="3" applyFont="1" applyFill="1" applyAlignment="1">
      <alignment vertical="center" readingOrder="1"/>
    </xf>
    <xf numFmtId="0" fontId="16" fillId="0" borderId="1" xfId="3" applyFont="1" applyBorder="1" applyAlignment="1">
      <alignment vertical="center" readingOrder="1"/>
    </xf>
    <xf numFmtId="0" fontId="16" fillId="2" borderId="0" xfId="3" applyFont="1" applyFill="1" applyAlignment="1">
      <alignment vertical="center" readingOrder="1"/>
    </xf>
    <xf numFmtId="168" fontId="15" fillId="0" borderId="0" xfId="3" applyNumberFormat="1" applyFont="1" applyAlignment="1">
      <alignment vertical="center" readingOrder="1"/>
    </xf>
    <xf numFmtId="49" fontId="15" fillId="2" borderId="0" xfId="0" applyNumberFormat="1" applyFont="1" applyFill="1" applyAlignment="1">
      <alignment vertical="center" readingOrder="1"/>
    </xf>
    <xf numFmtId="166" fontId="16" fillId="3" borderId="1" xfId="3" applyNumberFormat="1" applyFont="1" applyFill="1" applyBorder="1" applyAlignment="1">
      <alignment vertical="center" readingOrder="1"/>
    </xf>
    <xf numFmtId="0" fontId="16" fillId="0" borderId="2" xfId="3" applyFont="1" applyBorder="1" applyAlignment="1">
      <alignment vertical="center" readingOrder="1"/>
    </xf>
    <xf numFmtId="0" fontId="16" fillId="0" borderId="0" xfId="3" applyFont="1" applyAlignment="1">
      <alignment vertical="center" readingOrder="1"/>
    </xf>
    <xf numFmtId="0" fontId="1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5" fillId="0" borderId="0" xfId="0" applyFont="1"/>
    <xf numFmtId="0" fontId="16" fillId="2" borderId="0" xfId="0" applyFont="1" applyFill="1" applyAlignment="1">
      <alignment vertical="center"/>
    </xf>
    <xf numFmtId="49" fontId="15" fillId="2" borderId="0" xfId="2" applyNumberFormat="1" applyFont="1" applyFill="1" applyAlignment="1" applyProtection="1">
      <alignment vertical="center"/>
      <protection locked="0"/>
    </xf>
    <xf numFmtId="49" fontId="16" fillId="0" borderId="1" xfId="2" applyNumberFormat="1" applyFont="1" applyBorder="1" applyAlignment="1" applyProtection="1">
      <alignment vertical="center" wrapText="1"/>
      <protection locked="0"/>
    </xf>
    <xf numFmtId="49" fontId="16" fillId="0" borderId="0" xfId="2" applyNumberFormat="1" applyFont="1" applyAlignment="1" applyProtection="1">
      <alignment vertical="center" wrapText="1"/>
      <protection locked="0"/>
    </xf>
    <xf numFmtId="49" fontId="15" fillId="0" borderId="0" xfId="2" applyNumberFormat="1" applyFont="1" applyAlignment="1" applyProtection="1">
      <alignment vertical="center"/>
      <protection locked="0"/>
    </xf>
    <xf numFmtId="49" fontId="16" fillId="0" borderId="2" xfId="2" applyNumberFormat="1" applyFont="1" applyBorder="1" applyAlignment="1" applyProtection="1">
      <alignment vertical="center" wrapText="1"/>
      <protection locked="0"/>
    </xf>
    <xf numFmtId="49" fontId="16" fillId="2" borderId="1" xfId="2" applyNumberFormat="1" applyFont="1" applyFill="1" applyBorder="1" applyAlignment="1" applyProtection="1">
      <alignment vertical="center"/>
      <protection locked="0"/>
    </xf>
    <xf numFmtId="167" fontId="16" fillId="3" borderId="2" xfId="1" applyNumberFormat="1" applyFont="1" applyFill="1" applyBorder="1" applyAlignment="1" applyProtection="1">
      <alignment horizontal="right" vertical="center"/>
      <protection locked="0"/>
    </xf>
    <xf numFmtId="168" fontId="17" fillId="0" borderId="0" xfId="19" applyNumberFormat="1" applyFont="1" applyFill="1" applyAlignment="1">
      <alignment horizontal="center"/>
    </xf>
    <xf numFmtId="167" fontId="4" fillId="0" borderId="0" xfId="1" applyNumberFormat="1" applyFont="1"/>
    <xf numFmtId="0" fontId="19" fillId="2" borderId="0" xfId="3" applyFont="1" applyFill="1" applyAlignment="1">
      <alignment vertical="center" readingOrder="1"/>
    </xf>
    <xf numFmtId="166" fontId="19" fillId="0" borderId="0" xfId="3" applyNumberFormat="1" applyFont="1" applyAlignment="1">
      <alignment vertical="center" readingOrder="1"/>
    </xf>
    <xf numFmtId="168" fontId="15" fillId="0" borderId="0" xfId="1" applyNumberFormat="1" applyFont="1" applyFill="1" applyBorder="1" applyAlignment="1">
      <alignment horizontal="right" vertical="center" readingOrder="1"/>
    </xf>
    <xf numFmtId="168" fontId="16" fillId="0" borderId="1" xfId="1" applyNumberFormat="1" applyFont="1" applyFill="1" applyBorder="1" applyAlignment="1">
      <alignment vertical="center" readingOrder="1"/>
    </xf>
    <xf numFmtId="168" fontId="16" fillId="3" borderId="1" xfId="1" applyNumberFormat="1" applyFont="1" applyFill="1" applyBorder="1" applyAlignment="1">
      <alignment vertical="center" readingOrder="1"/>
    </xf>
    <xf numFmtId="43" fontId="15" fillId="0" borderId="0" xfId="3" applyNumberFormat="1" applyFont="1" applyAlignment="1">
      <alignment vertical="center" readingOrder="1"/>
    </xf>
    <xf numFmtId="0" fontId="20" fillId="0" borderId="0" xfId="0" applyFont="1" applyAlignment="1">
      <alignment vertical="top" wrapText="1"/>
    </xf>
    <xf numFmtId="164" fontId="4" fillId="0" borderId="0" xfId="1" applyFont="1"/>
    <xf numFmtId="164" fontId="4" fillId="0" borderId="0" xfId="1" applyFont="1" applyBorder="1"/>
    <xf numFmtId="166" fontId="16" fillId="3" borderId="0" xfId="3" applyNumberFormat="1" applyFont="1" applyFill="1" applyAlignment="1">
      <alignment vertical="center" readingOrder="1"/>
    </xf>
    <xf numFmtId="168" fontId="15" fillId="3" borderId="0" xfId="3" applyNumberFormat="1" applyFont="1" applyFill="1" applyAlignment="1">
      <alignment vertical="center" readingOrder="1"/>
    </xf>
    <xf numFmtId="166" fontId="19" fillId="3" borderId="0" xfId="3" applyNumberFormat="1" applyFont="1" applyFill="1" applyAlignment="1">
      <alignment vertical="center" readingOrder="1"/>
    </xf>
    <xf numFmtId="0" fontId="15" fillId="2" borderId="0" xfId="3" applyFont="1" applyFill="1" applyAlignment="1">
      <alignment vertical="center"/>
    </xf>
    <xf numFmtId="0" fontId="16" fillId="0" borderId="1" xfId="3" applyFont="1" applyBorder="1" applyAlignment="1">
      <alignment vertical="center"/>
    </xf>
    <xf numFmtId="0" fontId="16" fillId="0" borderId="0" xfId="3" applyFont="1" applyAlignment="1">
      <alignment vertical="center"/>
    </xf>
    <xf numFmtId="0" fontId="16" fillId="0" borderId="2" xfId="3" applyFont="1" applyBorder="1" applyAlignment="1">
      <alignment vertical="center"/>
    </xf>
    <xf numFmtId="166" fontId="18" fillId="2" borderId="0" xfId="3" applyNumberFormat="1" applyFont="1" applyFill="1" applyAlignment="1">
      <alignment horizontal="right" vertical="center"/>
    </xf>
    <xf numFmtId="167" fontId="16" fillId="3" borderId="0" xfId="1" applyNumberFormat="1" applyFont="1" applyFill="1" applyAlignment="1" applyProtection="1">
      <alignment vertical="center" wrapText="1"/>
      <protection locked="0"/>
    </xf>
    <xf numFmtId="167" fontId="15" fillId="3" borderId="0" xfId="1" applyNumberFormat="1" applyFont="1" applyFill="1" applyAlignment="1" applyProtection="1">
      <alignment vertical="center"/>
      <protection locked="0"/>
    </xf>
    <xf numFmtId="0" fontId="20" fillId="0" borderId="0" xfId="0" applyFont="1" applyAlignment="1">
      <alignment horizontal="left" vertical="top" wrapText="1"/>
    </xf>
    <xf numFmtId="168" fontId="15" fillId="3" borderId="0" xfId="1" applyNumberFormat="1" applyFont="1" applyFill="1" applyAlignment="1">
      <alignment horizontal="right" vertical="center" readingOrder="1"/>
    </xf>
    <xf numFmtId="168" fontId="16" fillId="0" borderId="0" xfId="3" applyNumberFormat="1" applyFont="1" applyAlignment="1">
      <alignment vertical="center" readingOrder="1"/>
    </xf>
    <xf numFmtId="168" fontId="16" fillId="3" borderId="0" xfId="3" applyNumberFormat="1" applyFont="1" applyFill="1" applyAlignment="1">
      <alignment vertical="center" readingOrder="1"/>
    </xf>
    <xf numFmtId="168" fontId="16" fillId="0" borderId="0" xfId="0" applyNumberFormat="1" applyFont="1" applyAlignment="1">
      <alignment vertical="center" readingOrder="1"/>
    </xf>
    <xf numFmtId="168" fontId="16" fillId="3" borderId="0" xfId="0" applyNumberFormat="1" applyFont="1" applyFill="1" applyAlignment="1">
      <alignment vertical="center" readingOrder="1"/>
    </xf>
    <xf numFmtId="168" fontId="16" fillId="0" borderId="1" xfId="3" applyNumberFormat="1" applyFont="1" applyBorder="1" applyAlignment="1">
      <alignment vertical="center" readingOrder="1"/>
    </xf>
    <xf numFmtId="168" fontId="16" fillId="3" borderId="1" xfId="3" applyNumberFormat="1" applyFont="1" applyFill="1" applyBorder="1" applyAlignment="1">
      <alignment vertical="center" readingOrder="1"/>
    </xf>
    <xf numFmtId="168" fontId="16" fillId="0" borderId="2" xfId="3" applyNumberFormat="1" applyFont="1" applyBorder="1" applyAlignment="1">
      <alignment vertical="center" readingOrder="1"/>
    </xf>
    <xf numFmtId="168" fontId="16" fillId="3" borderId="2" xfId="3" applyNumberFormat="1" applyFont="1" applyFill="1" applyBorder="1" applyAlignment="1">
      <alignment vertical="center" readingOrder="1"/>
    </xf>
    <xf numFmtId="168" fontId="16" fillId="0" borderId="0" xfId="1" applyNumberFormat="1" applyFont="1" applyFill="1" applyBorder="1" applyAlignment="1">
      <alignment vertical="center" readingOrder="1"/>
    </xf>
    <xf numFmtId="168" fontId="16" fillId="3" borderId="0" xfId="1" applyNumberFormat="1" applyFont="1" applyFill="1" applyAlignment="1">
      <alignment vertical="center" readingOrder="1"/>
    </xf>
    <xf numFmtId="168" fontId="15" fillId="0" borderId="0" xfId="3" applyNumberFormat="1" applyFont="1" applyAlignment="1">
      <alignment horizontal="right" vertical="center"/>
    </xf>
    <xf numFmtId="168" fontId="16" fillId="0" borderId="1" xfId="1" applyNumberFormat="1" applyFont="1" applyBorder="1" applyAlignment="1">
      <alignment horizontal="right" vertical="center"/>
    </xf>
    <xf numFmtId="168" fontId="16" fillId="3" borderId="1" xfId="1" applyNumberFormat="1" applyFont="1" applyFill="1" applyBorder="1" applyAlignment="1">
      <alignment horizontal="right" vertical="center"/>
    </xf>
    <xf numFmtId="168" fontId="16" fillId="0" borderId="0" xfId="1" applyNumberFormat="1" applyFont="1" applyAlignment="1">
      <alignment horizontal="right" vertical="center"/>
    </xf>
    <xf numFmtId="168" fontId="16" fillId="3" borderId="0" xfId="1" applyNumberFormat="1" applyFont="1" applyFill="1" applyAlignment="1">
      <alignment horizontal="right" vertical="center"/>
    </xf>
    <xf numFmtId="168" fontId="15" fillId="3" borderId="0" xfId="3" applyNumberFormat="1" applyFont="1" applyFill="1" applyAlignment="1">
      <alignment horizontal="right" vertical="center"/>
    </xf>
    <xf numFmtId="168" fontId="16" fillId="0" borderId="2" xfId="1" applyNumberFormat="1" applyFont="1" applyBorder="1" applyAlignment="1">
      <alignment horizontal="right" vertical="center"/>
    </xf>
    <xf numFmtId="168" fontId="16" fillId="3" borderId="2" xfId="1" applyNumberFormat="1" applyFont="1" applyFill="1" applyBorder="1" applyAlignment="1">
      <alignment horizontal="right" vertical="center"/>
    </xf>
    <xf numFmtId="168" fontId="16" fillId="0" borderId="1" xfId="1" applyNumberFormat="1" applyFont="1" applyFill="1" applyBorder="1" applyAlignment="1" applyProtection="1">
      <alignment horizontal="right" vertical="center"/>
      <protection locked="0"/>
    </xf>
    <xf numFmtId="168" fontId="16" fillId="0" borderId="0" xfId="1" applyNumberFormat="1" applyFont="1" applyFill="1" applyBorder="1" applyAlignment="1" applyProtection="1">
      <alignment vertical="center" wrapText="1"/>
      <protection locked="0"/>
    </xf>
    <xf numFmtId="168" fontId="16" fillId="0" borderId="2" xfId="1" applyNumberFormat="1" applyFont="1" applyFill="1" applyBorder="1" applyAlignment="1" applyProtection="1">
      <alignment horizontal="right" vertical="center"/>
      <protection locked="0"/>
    </xf>
    <xf numFmtId="168" fontId="15" fillId="0" borderId="0" xfId="1" applyNumberFormat="1" applyFont="1" applyFill="1" applyBorder="1" applyAlignment="1" applyProtection="1">
      <alignment vertical="center"/>
      <protection locked="0"/>
    </xf>
    <xf numFmtId="166" fontId="15" fillId="0" borderId="0" xfId="1" applyNumberFormat="1" applyFont="1" applyFill="1" applyAlignment="1">
      <alignment horizontal="right" vertical="center" readingOrder="1"/>
    </xf>
    <xf numFmtId="166" fontId="16" fillId="0" borderId="1" xfId="1" applyNumberFormat="1" applyFont="1" applyFill="1" applyBorder="1" applyAlignment="1">
      <alignment vertical="center" readingOrder="1"/>
    </xf>
    <xf numFmtId="166" fontId="16" fillId="0" borderId="0" xfId="3" applyNumberFormat="1" applyFont="1" applyAlignment="1">
      <alignment vertical="center" readingOrder="1"/>
    </xf>
    <xf numFmtId="166" fontId="16" fillId="0" borderId="0" xfId="0" applyNumberFormat="1" applyFont="1" applyAlignment="1">
      <alignment vertical="center" readingOrder="1"/>
    </xf>
    <xf numFmtId="166" fontId="16" fillId="0" borderId="1" xfId="3" applyNumberFormat="1" applyFont="1" applyBorder="1" applyAlignment="1">
      <alignment vertical="center" readingOrder="1"/>
    </xf>
    <xf numFmtId="166" fontId="16" fillId="0" borderId="2" xfId="3" applyNumberFormat="1" applyFont="1" applyBorder="1" applyAlignment="1">
      <alignment vertical="center" readingOrder="1"/>
    </xf>
    <xf numFmtId="166" fontId="16" fillId="0" borderId="0" xfId="1" applyNumberFormat="1" applyFont="1" applyFill="1" applyAlignment="1">
      <alignment vertical="center" readingOrder="1"/>
    </xf>
    <xf numFmtId="167" fontId="16" fillId="0" borderId="1" xfId="1" applyNumberFormat="1" applyFont="1" applyFill="1" applyBorder="1" applyAlignment="1" applyProtection="1">
      <alignment horizontal="right" vertical="center"/>
      <protection locked="0"/>
    </xf>
    <xf numFmtId="168" fontId="16" fillId="0" borderId="0" xfId="1" applyNumberFormat="1" applyFont="1" applyFill="1" applyAlignment="1" applyProtection="1">
      <alignment vertical="center" wrapText="1"/>
      <protection locked="0"/>
    </xf>
    <xf numFmtId="167" fontId="16" fillId="0" borderId="0" xfId="1" applyNumberFormat="1" applyFont="1" applyFill="1" applyAlignment="1" applyProtection="1">
      <alignment vertical="center" wrapText="1"/>
      <protection locked="0"/>
    </xf>
    <xf numFmtId="168" fontId="15" fillId="0" borderId="0" xfId="1" applyNumberFormat="1" applyFont="1" applyFill="1" applyAlignment="1">
      <alignment vertical="center" readingOrder="1"/>
    </xf>
    <xf numFmtId="167" fontId="16" fillId="0" borderId="2" xfId="1" applyNumberFormat="1" applyFont="1" applyFill="1" applyBorder="1" applyAlignment="1" applyProtection="1">
      <alignment horizontal="right" vertical="center"/>
      <protection locked="0"/>
    </xf>
    <xf numFmtId="168" fontId="15" fillId="0" borderId="0" xfId="1" applyNumberFormat="1" applyFont="1" applyFill="1" applyAlignment="1" applyProtection="1">
      <alignment vertical="center"/>
      <protection locked="0"/>
    </xf>
    <xf numFmtId="167" fontId="15" fillId="0" borderId="0" xfId="1" applyNumberFormat="1" applyFont="1" applyFill="1" applyAlignment="1" applyProtection="1">
      <alignment vertical="center"/>
      <protection locked="0"/>
    </xf>
    <xf numFmtId="171" fontId="9" fillId="0" borderId="0" xfId="1" applyNumberFormat="1" applyFont="1" applyBorder="1" applyAlignment="1">
      <alignment vertical="center" readingOrder="1"/>
    </xf>
    <xf numFmtId="49" fontId="14" fillId="4" borderId="1" xfId="2" applyNumberFormat="1" applyFont="1" applyFill="1" applyBorder="1" applyAlignment="1" applyProtection="1">
      <alignment vertical="center"/>
      <protection locked="0"/>
    </xf>
    <xf numFmtId="0" fontId="14" fillId="4" borderId="1" xfId="3" applyFont="1" applyFill="1" applyBorder="1" applyAlignment="1">
      <alignment horizontal="right" vertical="center" readingOrder="1"/>
    </xf>
    <xf numFmtId="0" fontId="14" fillId="4" borderId="1" xfId="3" applyFont="1" applyFill="1" applyBorder="1" applyAlignment="1">
      <alignment vertical="center"/>
    </xf>
    <xf numFmtId="0" fontId="14" fillId="4" borderId="1" xfId="3" applyFont="1" applyFill="1" applyBorder="1" applyAlignment="1">
      <alignment horizontal="right" vertical="center" wrapText="1" readingOrder="1"/>
    </xf>
    <xf numFmtId="0" fontId="13" fillId="4" borderId="1" xfId="0" applyFont="1" applyFill="1" applyBorder="1" applyAlignment="1">
      <alignment horizontal="left" vertical="center" readingOrder="1"/>
    </xf>
    <xf numFmtId="0" fontId="21" fillId="0" borderId="0" xfId="0" applyFont="1"/>
    <xf numFmtId="0" fontId="20" fillId="0" borderId="0" xfId="0" applyFont="1" applyAlignment="1">
      <alignment vertical="top"/>
    </xf>
    <xf numFmtId="168" fontId="15" fillId="5" borderId="0" xfId="3" applyNumberFormat="1" applyFont="1" applyFill="1" applyAlignment="1">
      <alignment vertical="center" readingOrder="1"/>
    </xf>
    <xf numFmtId="168" fontId="17" fillId="5" borderId="0" xfId="19" applyNumberFormat="1" applyFont="1" applyFill="1" applyAlignment="1">
      <alignment horizontal="center"/>
    </xf>
    <xf numFmtId="0" fontId="19" fillId="0" borderId="0" xfId="0" applyFont="1" applyAlignment="1">
      <alignment vertical="center"/>
    </xf>
    <xf numFmtId="0" fontId="6" fillId="0" borderId="0" xfId="0" applyFont="1"/>
    <xf numFmtId="168" fontId="15" fillId="3" borderId="0" xfId="1" applyNumberFormat="1" applyFont="1" applyFill="1" applyAlignment="1">
      <alignment horizontal="right" vertical="center"/>
    </xf>
    <xf numFmtId="164" fontId="15" fillId="2" borderId="0" xfId="0" applyNumberFormat="1" applyFont="1" applyFill="1" applyAlignment="1">
      <alignment vertical="center"/>
    </xf>
    <xf numFmtId="0" fontId="22" fillId="0" borderId="0" xfId="0" applyFont="1"/>
    <xf numFmtId="168" fontId="15" fillId="0" borderId="0" xfId="1" applyNumberFormat="1" applyFont="1" applyAlignment="1">
      <alignment horizontal="right" vertical="center"/>
    </xf>
    <xf numFmtId="164" fontId="15" fillId="3" borderId="0" xfId="1" applyFont="1" applyFill="1" applyAlignment="1">
      <alignment vertical="center" readingOrder="1"/>
    </xf>
  </cellXfs>
  <cellStyles count="102">
    <cellStyle name="Comma" xfId="1" builtinId="3"/>
    <cellStyle name="Comma 2" xfId="16" xr:uid="{00000000-0005-0000-0000-000001000000}"/>
    <cellStyle name="Comma 2 2" xfId="22" xr:uid="{00000000-0005-0000-0000-000002000000}"/>
    <cellStyle name="Comma 2 3" xfId="101" xr:uid="{00000000-0005-0000-0000-000003000000}"/>
    <cellStyle name="Comma 3" xfId="8" xr:uid="{00000000-0005-0000-0000-000004000000}"/>
    <cellStyle name="Comma 3 2" xfId="21" xr:uid="{00000000-0005-0000-0000-000005000000}"/>
    <cellStyle name="Comma 3 3" xfId="100" xr:uid="{00000000-0005-0000-0000-000006000000}"/>
    <cellStyle name="Comma 4" xfId="6" xr:uid="{00000000-0005-0000-0000-000007000000}"/>
    <cellStyle name="Comma 4 2" xfId="20" xr:uid="{00000000-0005-0000-0000-000008000000}"/>
    <cellStyle name="Comma 4 3" xfId="99" xr:uid="{00000000-0005-0000-0000-000009000000}"/>
    <cellStyle name="Comma 5" xfId="19" xr:uid="{00000000-0005-0000-0000-00000A000000}"/>
    <cellStyle name="Comma 5 2" xfId="23" xr:uid="{00000000-0005-0000-0000-00000B000000}"/>
    <cellStyle name="Comma 6" xfId="98" xr:uid="{00000000-0005-0000-0000-00000C000000}"/>
    <cellStyle name="Followed Hyperlink" xfId="57" builtinId="9" hidden="1"/>
    <cellStyle name="Followed Hyperlink" xfId="55" builtinId="9" hidden="1"/>
    <cellStyle name="Followed Hyperlink" xfId="59" builtinId="9" hidden="1"/>
    <cellStyle name="Followed Hyperlink" xfId="79" builtinId="9" hidden="1"/>
    <cellStyle name="Followed Hyperlink" xfId="91" builtinId="9" hidden="1"/>
    <cellStyle name="Followed Hyperlink" xfId="4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51" builtinId="9" hidden="1"/>
    <cellStyle name="Followed Hyperlink" xfId="31" builtinId="9" hidden="1"/>
    <cellStyle name="Followed Hyperlink" xfId="33" builtinId="9" hidden="1"/>
    <cellStyle name="Followed Hyperlink" xfId="77" builtinId="9" hidden="1"/>
    <cellStyle name="Followed Hyperlink" xfId="69" builtinId="9" hidden="1"/>
    <cellStyle name="Followed Hyperlink" xfId="61" builtinId="9" hidden="1"/>
    <cellStyle name="Followed Hyperlink" xfId="97" builtinId="9" hidden="1"/>
    <cellStyle name="Followed Hyperlink" xfId="95" builtinId="9" hidden="1"/>
    <cellStyle name="Followed Hyperlink" xfId="93" builtinId="9" hidden="1"/>
    <cellStyle name="Followed Hyperlink" xfId="49" builtinId="9" hidden="1"/>
    <cellStyle name="Followed Hyperlink" xfId="47" builtinId="9" hidden="1"/>
    <cellStyle name="Followed Hyperlink" xfId="35" builtinId="9" hidden="1"/>
    <cellStyle name="Followed Hyperlink" xfId="81" builtinId="9" hidden="1"/>
    <cellStyle name="Followed Hyperlink" xfId="67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83" builtinId="9" hidden="1"/>
    <cellStyle name="Followed Hyperlink" xfId="89" builtinId="9" hidden="1"/>
    <cellStyle name="Followed Hyperlink" xfId="63" builtinId="9" hidden="1"/>
    <cellStyle name="Followed Hyperlink" xfId="65" builtinId="9" hidden="1"/>
    <cellStyle name="Followed Hyperlink" xfId="87" builtinId="9" hidden="1"/>
    <cellStyle name="Followed Hyperlink" xfId="43" builtinId="9" hidden="1"/>
    <cellStyle name="Followed Hyperlink" xfId="53" builtinId="9" hidden="1"/>
    <cellStyle name="Followed Hyperlink" xfId="85" builtinId="9" hidden="1"/>
    <cellStyle name="Followed Hyperlink" xfId="29" builtinId="9" hidden="1"/>
    <cellStyle name="Followed Hyperlink" xfId="25" builtinId="9" hidden="1"/>
    <cellStyle name="Followed Hyperlink" xfId="27" builtinId="9" hidden="1"/>
    <cellStyle name="Hyperlink" xfId="62" builtinId="8" hidden="1"/>
    <cellStyle name="Hyperlink" xfId="66" builtinId="8" hidden="1"/>
    <cellStyle name="Hyperlink" xfId="28" builtinId="8" hidden="1"/>
    <cellStyle name="Hyperlink" xfId="30" builtinId="8" hidden="1"/>
    <cellStyle name="Hyperlink" xfId="32" builtinId="8" hidden="1"/>
    <cellStyle name="Hyperlink" xfId="44" builtinId="8" hidden="1"/>
    <cellStyle name="Hyperlink" xfId="46" builtinId="8" hidden="1"/>
    <cellStyle name="Hyperlink" xfId="58" builtinId="8" hidden="1"/>
    <cellStyle name="Hyperlink" xfId="76" builtinId="8" hidden="1"/>
    <cellStyle name="Hyperlink" xfId="80" builtinId="8" hidden="1"/>
    <cellStyle name="Hyperlink" xfId="54" builtinId="8" hidden="1"/>
    <cellStyle name="Hyperlink" xfId="36" builtinId="8" hidden="1"/>
    <cellStyle name="Hyperlink" xfId="40" builtinId="8" hidden="1"/>
    <cellStyle name="Hyperlink" xfId="42" builtinId="8" hidden="1"/>
    <cellStyle name="Hyperlink" xfId="70" builtinId="8" hidden="1"/>
    <cellStyle name="Hyperlink" xfId="96" builtinId="8" hidden="1"/>
    <cellStyle name="Hyperlink" xfId="94" builtinId="8" hidden="1"/>
    <cellStyle name="Hyperlink" xfId="48" builtinId="8" hidden="1"/>
    <cellStyle name="Hyperlink" xfId="78" builtinId="8" hidden="1"/>
    <cellStyle name="Hyperlink" xfId="24" builtinId="8" hidden="1"/>
    <cellStyle name="Hyperlink" xfId="26" builtinId="8" hidden="1"/>
    <cellStyle name="Hyperlink" xfId="38" builtinId="8" hidden="1"/>
    <cellStyle name="Hyperlink" xfId="60" builtinId="8" hidden="1"/>
    <cellStyle name="Hyperlink" xfId="64" builtinId="8" hidden="1"/>
    <cellStyle name="Hyperlink" xfId="34" builtinId="8" hidden="1"/>
    <cellStyle name="Hyperlink" xfId="84" builtinId="8" hidden="1"/>
    <cellStyle name="Hyperlink" xfId="82" builtinId="8" hidden="1"/>
    <cellStyle name="Hyperlink" xfId="50" builtinId="8" hidden="1"/>
    <cellStyle name="Hyperlink" xfId="68" builtinId="8" hidden="1"/>
    <cellStyle name="Hyperlink" xfId="72" builtinId="8" hidden="1"/>
    <cellStyle name="Hyperlink" xfId="74" builtinId="8" hidden="1"/>
    <cellStyle name="Hyperlink" xfId="88" builtinId="8" hidden="1"/>
    <cellStyle name="Hyperlink" xfId="86" builtinId="8" hidden="1"/>
    <cellStyle name="Hyperlink" xfId="90" builtinId="8" hidden="1"/>
    <cellStyle name="Hyperlink" xfId="92" builtinId="8" hidden="1"/>
    <cellStyle name="Hyperlink" xfId="56" builtinId="8" hidden="1"/>
    <cellStyle name="Hyperlink" xfId="52" builtinId="8" hidden="1"/>
    <cellStyle name="Normal" xfId="0" builtinId="0"/>
    <cellStyle name="Normal 14 10" xfId="18" xr:uid="{00000000-0005-0000-0000-000058000000}"/>
    <cellStyle name="Normal 2" xfId="4" xr:uid="{00000000-0005-0000-0000-000059000000}"/>
    <cellStyle name="Normal 2 2" xfId="14" xr:uid="{00000000-0005-0000-0000-00005A000000}"/>
    <cellStyle name="Normal 2 3" xfId="9" xr:uid="{00000000-0005-0000-0000-00005B000000}"/>
    <cellStyle name="Normal 3" xfId="10" xr:uid="{00000000-0005-0000-0000-00005C000000}"/>
    <cellStyle name="Normal 4" xfId="5" xr:uid="{00000000-0005-0000-0000-00005D000000}"/>
    <cellStyle name="Normal 4 2" xfId="15" xr:uid="{00000000-0005-0000-0000-00005E000000}"/>
    <cellStyle name="Normal 5" xfId="7" xr:uid="{00000000-0005-0000-0000-00005F000000}"/>
    <cellStyle name="Normal 8" xfId="11" xr:uid="{00000000-0005-0000-0000-000060000000}"/>
    <cellStyle name="Normal_Kopi av 2006 02 08 Regnskap konsern 2005Eng" xfId="2" xr:uid="{00000000-0005-0000-0000-000061000000}"/>
    <cellStyle name="Normal_Notemal" xfId="3" xr:uid="{00000000-0005-0000-0000-000062000000}"/>
    <cellStyle name="Percent 2" xfId="13" xr:uid="{00000000-0005-0000-0000-000064000000}"/>
    <cellStyle name="Percent 3" xfId="17" xr:uid="{00000000-0005-0000-0000-000065000000}"/>
    <cellStyle name="Percent 4" xfId="12" xr:uid="{00000000-0005-0000-0000-000066000000}"/>
  </cellStyles>
  <dxfs count="0"/>
  <tableStyles count="0" defaultTableStyle="TableStyleMedium2" defaultPivotStyle="PivotStyleLight16"/>
  <colors>
    <mruColors>
      <color rgb="FF001E61"/>
      <color rgb="FF92CDDC"/>
      <color rgb="FFFF66FF"/>
      <color rgb="FF00A98F"/>
      <color rgb="FFF8A7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A46"/>
  <sheetViews>
    <sheetView showGridLines="0" tabSelected="1" zoomScaleNormal="100" zoomScalePageLayoutView="120" workbookViewId="0">
      <selection activeCell="W14" sqref="T14:W14"/>
    </sheetView>
  </sheetViews>
  <sheetFormatPr defaultColWidth="8.7109375" defaultRowHeight="12"/>
  <cols>
    <col min="1" max="1" width="46.28515625" style="1" customWidth="1"/>
    <col min="2" max="4" width="10.7109375" style="1" hidden="1" customWidth="1"/>
    <col min="5" max="6" width="10.7109375" style="30" hidden="1" customWidth="1"/>
    <col min="7" max="9" width="10.7109375" style="1" hidden="1" customWidth="1"/>
    <col min="10" max="23" width="10.7109375" style="1" customWidth="1"/>
    <col min="24" max="24" width="10.7109375" style="30" customWidth="1"/>
    <col min="25" max="25" width="10.7109375" style="1" customWidth="1"/>
    <col min="26" max="243" width="8.7109375" style="1"/>
    <col min="244" max="244" width="41.28515625" style="1" customWidth="1"/>
    <col min="245" max="245" width="5.42578125" style="1" customWidth="1"/>
    <col min="246" max="248" width="9.28515625" style="1" customWidth="1"/>
    <col min="249" max="251" width="8.7109375" style="1"/>
    <col min="252" max="252" width="0" style="1" hidden="1" customWidth="1"/>
    <col min="253" max="499" width="8.7109375" style="1"/>
    <col min="500" max="500" width="41.28515625" style="1" customWidth="1"/>
    <col min="501" max="501" width="5.42578125" style="1" customWidth="1"/>
    <col min="502" max="504" width="9.28515625" style="1" customWidth="1"/>
    <col min="505" max="507" width="8.7109375" style="1"/>
    <col min="508" max="508" width="0" style="1" hidden="1" customWidth="1"/>
    <col min="509" max="755" width="8.7109375" style="1"/>
    <col min="756" max="756" width="41.28515625" style="1" customWidth="1"/>
    <col min="757" max="757" width="5.42578125" style="1" customWidth="1"/>
    <col min="758" max="760" width="9.28515625" style="1" customWidth="1"/>
    <col min="761" max="763" width="8.7109375" style="1"/>
    <col min="764" max="764" width="0" style="1" hidden="1" customWidth="1"/>
    <col min="765" max="1011" width="8.7109375" style="1"/>
    <col min="1012" max="1012" width="41.28515625" style="1" customWidth="1"/>
    <col min="1013" max="1013" width="5.42578125" style="1" customWidth="1"/>
    <col min="1014" max="1016" width="9.28515625" style="1" customWidth="1"/>
    <col min="1017" max="1019" width="8.7109375" style="1"/>
    <col min="1020" max="1020" width="0" style="1" hidden="1" customWidth="1"/>
    <col min="1021" max="1267" width="8.7109375" style="1"/>
    <col min="1268" max="1268" width="41.28515625" style="1" customWidth="1"/>
    <col min="1269" max="1269" width="5.42578125" style="1" customWidth="1"/>
    <col min="1270" max="1272" width="9.28515625" style="1" customWidth="1"/>
    <col min="1273" max="1275" width="8.7109375" style="1"/>
    <col min="1276" max="1276" width="0" style="1" hidden="1" customWidth="1"/>
    <col min="1277" max="1523" width="8.7109375" style="1"/>
    <col min="1524" max="1524" width="41.28515625" style="1" customWidth="1"/>
    <col min="1525" max="1525" width="5.42578125" style="1" customWidth="1"/>
    <col min="1526" max="1528" width="9.28515625" style="1" customWidth="1"/>
    <col min="1529" max="1531" width="8.7109375" style="1"/>
    <col min="1532" max="1532" width="0" style="1" hidden="1" customWidth="1"/>
    <col min="1533" max="1779" width="8.7109375" style="1"/>
    <col min="1780" max="1780" width="41.28515625" style="1" customWidth="1"/>
    <col min="1781" max="1781" width="5.42578125" style="1" customWidth="1"/>
    <col min="1782" max="1784" width="9.28515625" style="1" customWidth="1"/>
    <col min="1785" max="1787" width="8.7109375" style="1"/>
    <col min="1788" max="1788" width="0" style="1" hidden="1" customWidth="1"/>
    <col min="1789" max="2035" width="8.7109375" style="1"/>
    <col min="2036" max="2036" width="41.28515625" style="1" customWidth="1"/>
    <col min="2037" max="2037" width="5.42578125" style="1" customWidth="1"/>
    <col min="2038" max="2040" width="9.28515625" style="1" customWidth="1"/>
    <col min="2041" max="2043" width="8.7109375" style="1"/>
    <col min="2044" max="2044" width="0" style="1" hidden="1" customWidth="1"/>
    <col min="2045" max="2291" width="8.7109375" style="1"/>
    <col min="2292" max="2292" width="41.28515625" style="1" customWidth="1"/>
    <col min="2293" max="2293" width="5.42578125" style="1" customWidth="1"/>
    <col min="2294" max="2296" width="9.28515625" style="1" customWidth="1"/>
    <col min="2297" max="2299" width="8.7109375" style="1"/>
    <col min="2300" max="2300" width="0" style="1" hidden="1" customWidth="1"/>
    <col min="2301" max="2547" width="8.7109375" style="1"/>
    <col min="2548" max="2548" width="41.28515625" style="1" customWidth="1"/>
    <col min="2549" max="2549" width="5.42578125" style="1" customWidth="1"/>
    <col min="2550" max="2552" width="9.28515625" style="1" customWidth="1"/>
    <col min="2553" max="2555" width="8.7109375" style="1"/>
    <col min="2556" max="2556" width="0" style="1" hidden="1" customWidth="1"/>
    <col min="2557" max="2803" width="8.7109375" style="1"/>
    <col min="2804" max="2804" width="41.28515625" style="1" customWidth="1"/>
    <col min="2805" max="2805" width="5.42578125" style="1" customWidth="1"/>
    <col min="2806" max="2808" width="9.28515625" style="1" customWidth="1"/>
    <col min="2809" max="2811" width="8.7109375" style="1"/>
    <col min="2812" max="2812" width="0" style="1" hidden="1" customWidth="1"/>
    <col min="2813" max="3059" width="8.7109375" style="1"/>
    <col min="3060" max="3060" width="41.28515625" style="1" customWidth="1"/>
    <col min="3061" max="3061" width="5.42578125" style="1" customWidth="1"/>
    <col min="3062" max="3064" width="9.28515625" style="1" customWidth="1"/>
    <col min="3065" max="3067" width="8.7109375" style="1"/>
    <col min="3068" max="3068" width="0" style="1" hidden="1" customWidth="1"/>
    <col min="3069" max="3315" width="8.7109375" style="1"/>
    <col min="3316" max="3316" width="41.28515625" style="1" customWidth="1"/>
    <col min="3317" max="3317" width="5.42578125" style="1" customWidth="1"/>
    <col min="3318" max="3320" width="9.28515625" style="1" customWidth="1"/>
    <col min="3321" max="3323" width="8.7109375" style="1"/>
    <col min="3324" max="3324" width="0" style="1" hidden="1" customWidth="1"/>
    <col min="3325" max="3571" width="8.7109375" style="1"/>
    <col min="3572" max="3572" width="41.28515625" style="1" customWidth="1"/>
    <col min="3573" max="3573" width="5.42578125" style="1" customWidth="1"/>
    <col min="3574" max="3576" width="9.28515625" style="1" customWidth="1"/>
    <col min="3577" max="3579" width="8.7109375" style="1"/>
    <col min="3580" max="3580" width="0" style="1" hidden="1" customWidth="1"/>
    <col min="3581" max="3827" width="8.7109375" style="1"/>
    <col min="3828" max="3828" width="41.28515625" style="1" customWidth="1"/>
    <col min="3829" max="3829" width="5.42578125" style="1" customWidth="1"/>
    <col min="3830" max="3832" width="9.28515625" style="1" customWidth="1"/>
    <col min="3833" max="3835" width="8.7109375" style="1"/>
    <col min="3836" max="3836" width="0" style="1" hidden="1" customWidth="1"/>
    <col min="3837" max="4083" width="8.7109375" style="1"/>
    <col min="4084" max="4084" width="41.28515625" style="1" customWidth="1"/>
    <col min="4085" max="4085" width="5.42578125" style="1" customWidth="1"/>
    <col min="4086" max="4088" width="9.28515625" style="1" customWidth="1"/>
    <col min="4089" max="4091" width="8.7109375" style="1"/>
    <col min="4092" max="4092" width="0" style="1" hidden="1" customWidth="1"/>
    <col min="4093" max="4339" width="8.7109375" style="1"/>
    <col min="4340" max="4340" width="41.28515625" style="1" customWidth="1"/>
    <col min="4341" max="4341" width="5.42578125" style="1" customWidth="1"/>
    <col min="4342" max="4344" width="9.28515625" style="1" customWidth="1"/>
    <col min="4345" max="4347" width="8.7109375" style="1"/>
    <col min="4348" max="4348" width="0" style="1" hidden="1" customWidth="1"/>
    <col min="4349" max="4595" width="8.7109375" style="1"/>
    <col min="4596" max="4596" width="41.28515625" style="1" customWidth="1"/>
    <col min="4597" max="4597" width="5.42578125" style="1" customWidth="1"/>
    <col min="4598" max="4600" width="9.28515625" style="1" customWidth="1"/>
    <col min="4601" max="4603" width="8.7109375" style="1"/>
    <col min="4604" max="4604" width="0" style="1" hidden="1" customWidth="1"/>
    <col min="4605" max="4851" width="8.7109375" style="1"/>
    <col min="4852" max="4852" width="41.28515625" style="1" customWidth="1"/>
    <col min="4853" max="4853" width="5.42578125" style="1" customWidth="1"/>
    <col min="4854" max="4856" width="9.28515625" style="1" customWidth="1"/>
    <col min="4857" max="4859" width="8.7109375" style="1"/>
    <col min="4860" max="4860" width="0" style="1" hidden="1" customWidth="1"/>
    <col min="4861" max="5107" width="8.7109375" style="1"/>
    <col min="5108" max="5108" width="41.28515625" style="1" customWidth="1"/>
    <col min="5109" max="5109" width="5.42578125" style="1" customWidth="1"/>
    <col min="5110" max="5112" width="9.28515625" style="1" customWidth="1"/>
    <col min="5113" max="5115" width="8.7109375" style="1"/>
    <col min="5116" max="5116" width="0" style="1" hidden="1" customWidth="1"/>
    <col min="5117" max="5363" width="8.7109375" style="1"/>
    <col min="5364" max="5364" width="41.28515625" style="1" customWidth="1"/>
    <col min="5365" max="5365" width="5.42578125" style="1" customWidth="1"/>
    <col min="5366" max="5368" width="9.28515625" style="1" customWidth="1"/>
    <col min="5369" max="5371" width="8.7109375" style="1"/>
    <col min="5372" max="5372" width="0" style="1" hidden="1" customWidth="1"/>
    <col min="5373" max="5619" width="8.7109375" style="1"/>
    <col min="5620" max="5620" width="41.28515625" style="1" customWidth="1"/>
    <col min="5621" max="5621" width="5.42578125" style="1" customWidth="1"/>
    <col min="5622" max="5624" width="9.28515625" style="1" customWidth="1"/>
    <col min="5625" max="5627" width="8.7109375" style="1"/>
    <col min="5628" max="5628" width="0" style="1" hidden="1" customWidth="1"/>
    <col min="5629" max="5875" width="8.7109375" style="1"/>
    <col min="5876" max="5876" width="41.28515625" style="1" customWidth="1"/>
    <col min="5877" max="5877" width="5.42578125" style="1" customWidth="1"/>
    <col min="5878" max="5880" width="9.28515625" style="1" customWidth="1"/>
    <col min="5881" max="5883" width="8.7109375" style="1"/>
    <col min="5884" max="5884" width="0" style="1" hidden="1" customWidth="1"/>
    <col min="5885" max="6131" width="8.7109375" style="1"/>
    <col min="6132" max="6132" width="41.28515625" style="1" customWidth="1"/>
    <col min="6133" max="6133" width="5.42578125" style="1" customWidth="1"/>
    <col min="6134" max="6136" width="9.28515625" style="1" customWidth="1"/>
    <col min="6137" max="6139" width="8.7109375" style="1"/>
    <col min="6140" max="6140" width="0" style="1" hidden="1" customWidth="1"/>
    <col min="6141" max="6387" width="8.7109375" style="1"/>
    <col min="6388" max="6388" width="41.28515625" style="1" customWidth="1"/>
    <col min="6389" max="6389" width="5.42578125" style="1" customWidth="1"/>
    <col min="6390" max="6392" width="9.28515625" style="1" customWidth="1"/>
    <col min="6393" max="6395" width="8.7109375" style="1"/>
    <col min="6396" max="6396" width="0" style="1" hidden="1" customWidth="1"/>
    <col min="6397" max="6643" width="8.7109375" style="1"/>
    <col min="6644" max="6644" width="41.28515625" style="1" customWidth="1"/>
    <col min="6645" max="6645" width="5.42578125" style="1" customWidth="1"/>
    <col min="6646" max="6648" width="9.28515625" style="1" customWidth="1"/>
    <col min="6649" max="6651" width="8.7109375" style="1"/>
    <col min="6652" max="6652" width="0" style="1" hidden="1" customWidth="1"/>
    <col min="6653" max="6899" width="8.7109375" style="1"/>
    <col min="6900" max="6900" width="41.28515625" style="1" customWidth="1"/>
    <col min="6901" max="6901" width="5.42578125" style="1" customWidth="1"/>
    <col min="6902" max="6904" width="9.28515625" style="1" customWidth="1"/>
    <col min="6905" max="6907" width="8.7109375" style="1"/>
    <col min="6908" max="6908" width="0" style="1" hidden="1" customWidth="1"/>
    <col min="6909" max="7155" width="8.7109375" style="1"/>
    <col min="7156" max="7156" width="41.28515625" style="1" customWidth="1"/>
    <col min="7157" max="7157" width="5.42578125" style="1" customWidth="1"/>
    <col min="7158" max="7160" width="9.28515625" style="1" customWidth="1"/>
    <col min="7161" max="7163" width="8.7109375" style="1"/>
    <col min="7164" max="7164" width="0" style="1" hidden="1" customWidth="1"/>
    <col min="7165" max="7411" width="8.7109375" style="1"/>
    <col min="7412" max="7412" width="41.28515625" style="1" customWidth="1"/>
    <col min="7413" max="7413" width="5.42578125" style="1" customWidth="1"/>
    <col min="7414" max="7416" width="9.28515625" style="1" customWidth="1"/>
    <col min="7417" max="7419" width="8.7109375" style="1"/>
    <col min="7420" max="7420" width="0" style="1" hidden="1" customWidth="1"/>
    <col min="7421" max="7667" width="8.7109375" style="1"/>
    <col min="7668" max="7668" width="41.28515625" style="1" customWidth="1"/>
    <col min="7669" max="7669" width="5.42578125" style="1" customWidth="1"/>
    <col min="7670" max="7672" width="9.28515625" style="1" customWidth="1"/>
    <col min="7673" max="7675" width="8.7109375" style="1"/>
    <col min="7676" max="7676" width="0" style="1" hidden="1" customWidth="1"/>
    <col min="7677" max="7923" width="8.7109375" style="1"/>
    <col min="7924" max="7924" width="41.28515625" style="1" customWidth="1"/>
    <col min="7925" max="7925" width="5.42578125" style="1" customWidth="1"/>
    <col min="7926" max="7928" width="9.28515625" style="1" customWidth="1"/>
    <col min="7929" max="7931" width="8.7109375" style="1"/>
    <col min="7932" max="7932" width="0" style="1" hidden="1" customWidth="1"/>
    <col min="7933" max="8179" width="8.7109375" style="1"/>
    <col min="8180" max="8180" width="41.28515625" style="1" customWidth="1"/>
    <col min="8181" max="8181" width="5.42578125" style="1" customWidth="1"/>
    <col min="8182" max="8184" width="9.28515625" style="1" customWidth="1"/>
    <col min="8185" max="8187" width="8.7109375" style="1"/>
    <col min="8188" max="8188" width="0" style="1" hidden="1" customWidth="1"/>
    <col min="8189" max="8435" width="8.7109375" style="1"/>
    <col min="8436" max="8436" width="41.28515625" style="1" customWidth="1"/>
    <col min="8437" max="8437" width="5.42578125" style="1" customWidth="1"/>
    <col min="8438" max="8440" width="9.28515625" style="1" customWidth="1"/>
    <col min="8441" max="8443" width="8.7109375" style="1"/>
    <col min="8444" max="8444" width="0" style="1" hidden="1" customWidth="1"/>
    <col min="8445" max="8691" width="8.7109375" style="1"/>
    <col min="8692" max="8692" width="41.28515625" style="1" customWidth="1"/>
    <col min="8693" max="8693" width="5.42578125" style="1" customWidth="1"/>
    <col min="8694" max="8696" width="9.28515625" style="1" customWidth="1"/>
    <col min="8697" max="8699" width="8.7109375" style="1"/>
    <col min="8700" max="8700" width="0" style="1" hidden="1" customWidth="1"/>
    <col min="8701" max="8947" width="8.7109375" style="1"/>
    <col min="8948" max="8948" width="41.28515625" style="1" customWidth="1"/>
    <col min="8949" max="8949" width="5.42578125" style="1" customWidth="1"/>
    <col min="8950" max="8952" width="9.28515625" style="1" customWidth="1"/>
    <col min="8953" max="8955" width="8.7109375" style="1"/>
    <col min="8956" max="8956" width="0" style="1" hidden="1" customWidth="1"/>
    <col min="8957" max="9203" width="8.7109375" style="1"/>
    <col min="9204" max="9204" width="41.28515625" style="1" customWidth="1"/>
    <col min="9205" max="9205" width="5.42578125" style="1" customWidth="1"/>
    <col min="9206" max="9208" width="9.28515625" style="1" customWidth="1"/>
    <col min="9209" max="9211" width="8.7109375" style="1"/>
    <col min="9212" max="9212" width="0" style="1" hidden="1" customWidth="1"/>
    <col min="9213" max="9459" width="8.7109375" style="1"/>
    <col min="9460" max="9460" width="41.28515625" style="1" customWidth="1"/>
    <col min="9461" max="9461" width="5.42578125" style="1" customWidth="1"/>
    <col min="9462" max="9464" width="9.28515625" style="1" customWidth="1"/>
    <col min="9465" max="9467" width="8.7109375" style="1"/>
    <col min="9468" max="9468" width="0" style="1" hidden="1" customWidth="1"/>
    <col min="9469" max="9715" width="8.7109375" style="1"/>
    <col min="9716" max="9716" width="41.28515625" style="1" customWidth="1"/>
    <col min="9717" max="9717" width="5.42578125" style="1" customWidth="1"/>
    <col min="9718" max="9720" width="9.28515625" style="1" customWidth="1"/>
    <col min="9721" max="9723" width="8.7109375" style="1"/>
    <col min="9724" max="9724" width="0" style="1" hidden="1" customWidth="1"/>
    <col min="9725" max="9971" width="8.7109375" style="1"/>
    <col min="9972" max="9972" width="41.28515625" style="1" customWidth="1"/>
    <col min="9973" max="9973" width="5.42578125" style="1" customWidth="1"/>
    <col min="9974" max="9976" width="9.28515625" style="1" customWidth="1"/>
    <col min="9977" max="9979" width="8.7109375" style="1"/>
    <col min="9980" max="9980" width="0" style="1" hidden="1" customWidth="1"/>
    <col min="9981" max="10227" width="8.7109375" style="1"/>
    <col min="10228" max="10228" width="41.28515625" style="1" customWidth="1"/>
    <col min="10229" max="10229" width="5.42578125" style="1" customWidth="1"/>
    <col min="10230" max="10232" width="9.28515625" style="1" customWidth="1"/>
    <col min="10233" max="10235" width="8.7109375" style="1"/>
    <col min="10236" max="10236" width="0" style="1" hidden="1" customWidth="1"/>
    <col min="10237" max="10483" width="8.7109375" style="1"/>
    <col min="10484" max="10484" width="41.28515625" style="1" customWidth="1"/>
    <col min="10485" max="10485" width="5.42578125" style="1" customWidth="1"/>
    <col min="10486" max="10488" width="9.28515625" style="1" customWidth="1"/>
    <col min="10489" max="10491" width="8.7109375" style="1"/>
    <col min="10492" max="10492" width="0" style="1" hidden="1" customWidth="1"/>
    <col min="10493" max="10739" width="8.7109375" style="1"/>
    <col min="10740" max="10740" width="41.28515625" style="1" customWidth="1"/>
    <col min="10741" max="10741" width="5.42578125" style="1" customWidth="1"/>
    <col min="10742" max="10744" width="9.28515625" style="1" customWidth="1"/>
    <col min="10745" max="10747" width="8.7109375" style="1"/>
    <col min="10748" max="10748" width="0" style="1" hidden="1" customWidth="1"/>
    <col min="10749" max="10995" width="8.7109375" style="1"/>
    <col min="10996" max="10996" width="41.28515625" style="1" customWidth="1"/>
    <col min="10997" max="10997" width="5.42578125" style="1" customWidth="1"/>
    <col min="10998" max="11000" width="9.28515625" style="1" customWidth="1"/>
    <col min="11001" max="11003" width="8.7109375" style="1"/>
    <col min="11004" max="11004" width="0" style="1" hidden="1" customWidth="1"/>
    <col min="11005" max="11251" width="8.7109375" style="1"/>
    <col min="11252" max="11252" width="41.28515625" style="1" customWidth="1"/>
    <col min="11253" max="11253" width="5.42578125" style="1" customWidth="1"/>
    <col min="11254" max="11256" width="9.28515625" style="1" customWidth="1"/>
    <col min="11257" max="11259" width="8.7109375" style="1"/>
    <col min="11260" max="11260" width="0" style="1" hidden="1" customWidth="1"/>
    <col min="11261" max="11507" width="8.7109375" style="1"/>
    <col min="11508" max="11508" width="41.28515625" style="1" customWidth="1"/>
    <col min="11509" max="11509" width="5.42578125" style="1" customWidth="1"/>
    <col min="11510" max="11512" width="9.28515625" style="1" customWidth="1"/>
    <col min="11513" max="11515" width="8.7109375" style="1"/>
    <col min="11516" max="11516" width="0" style="1" hidden="1" customWidth="1"/>
    <col min="11517" max="11763" width="8.7109375" style="1"/>
    <col min="11764" max="11764" width="41.28515625" style="1" customWidth="1"/>
    <col min="11765" max="11765" width="5.42578125" style="1" customWidth="1"/>
    <col min="11766" max="11768" width="9.28515625" style="1" customWidth="1"/>
    <col min="11769" max="11771" width="8.7109375" style="1"/>
    <col min="11772" max="11772" width="0" style="1" hidden="1" customWidth="1"/>
    <col min="11773" max="12019" width="8.7109375" style="1"/>
    <col min="12020" max="12020" width="41.28515625" style="1" customWidth="1"/>
    <col min="12021" max="12021" width="5.42578125" style="1" customWidth="1"/>
    <col min="12022" max="12024" width="9.28515625" style="1" customWidth="1"/>
    <col min="12025" max="12027" width="8.7109375" style="1"/>
    <col min="12028" max="12028" width="0" style="1" hidden="1" customWidth="1"/>
    <col min="12029" max="12275" width="8.7109375" style="1"/>
    <col min="12276" max="12276" width="41.28515625" style="1" customWidth="1"/>
    <col min="12277" max="12277" width="5.42578125" style="1" customWidth="1"/>
    <col min="12278" max="12280" width="9.28515625" style="1" customWidth="1"/>
    <col min="12281" max="12283" width="8.7109375" style="1"/>
    <col min="12284" max="12284" width="0" style="1" hidden="1" customWidth="1"/>
    <col min="12285" max="12531" width="8.7109375" style="1"/>
    <col min="12532" max="12532" width="41.28515625" style="1" customWidth="1"/>
    <col min="12533" max="12533" width="5.42578125" style="1" customWidth="1"/>
    <col min="12534" max="12536" width="9.28515625" style="1" customWidth="1"/>
    <col min="12537" max="12539" width="8.7109375" style="1"/>
    <col min="12540" max="12540" width="0" style="1" hidden="1" customWidth="1"/>
    <col min="12541" max="12787" width="8.7109375" style="1"/>
    <col min="12788" max="12788" width="41.28515625" style="1" customWidth="1"/>
    <col min="12789" max="12789" width="5.42578125" style="1" customWidth="1"/>
    <col min="12790" max="12792" width="9.28515625" style="1" customWidth="1"/>
    <col min="12793" max="12795" width="8.7109375" style="1"/>
    <col min="12796" max="12796" width="0" style="1" hidden="1" customWidth="1"/>
    <col min="12797" max="13043" width="8.7109375" style="1"/>
    <col min="13044" max="13044" width="41.28515625" style="1" customWidth="1"/>
    <col min="13045" max="13045" width="5.42578125" style="1" customWidth="1"/>
    <col min="13046" max="13048" width="9.28515625" style="1" customWidth="1"/>
    <col min="13049" max="13051" width="8.7109375" style="1"/>
    <col min="13052" max="13052" width="0" style="1" hidden="1" customWidth="1"/>
    <col min="13053" max="13299" width="8.7109375" style="1"/>
    <col min="13300" max="13300" width="41.28515625" style="1" customWidth="1"/>
    <col min="13301" max="13301" width="5.42578125" style="1" customWidth="1"/>
    <col min="13302" max="13304" width="9.28515625" style="1" customWidth="1"/>
    <col min="13305" max="13307" width="8.7109375" style="1"/>
    <col min="13308" max="13308" width="0" style="1" hidden="1" customWidth="1"/>
    <col min="13309" max="13555" width="8.7109375" style="1"/>
    <col min="13556" max="13556" width="41.28515625" style="1" customWidth="1"/>
    <col min="13557" max="13557" width="5.42578125" style="1" customWidth="1"/>
    <col min="13558" max="13560" width="9.28515625" style="1" customWidth="1"/>
    <col min="13561" max="13563" width="8.7109375" style="1"/>
    <col min="13564" max="13564" width="0" style="1" hidden="1" customWidth="1"/>
    <col min="13565" max="13811" width="8.7109375" style="1"/>
    <col min="13812" max="13812" width="41.28515625" style="1" customWidth="1"/>
    <col min="13813" max="13813" width="5.42578125" style="1" customWidth="1"/>
    <col min="13814" max="13816" width="9.28515625" style="1" customWidth="1"/>
    <col min="13817" max="13819" width="8.7109375" style="1"/>
    <col min="13820" max="13820" width="0" style="1" hidden="1" customWidth="1"/>
    <col min="13821" max="14067" width="8.7109375" style="1"/>
    <col min="14068" max="14068" width="41.28515625" style="1" customWidth="1"/>
    <col min="14069" max="14069" width="5.42578125" style="1" customWidth="1"/>
    <col min="14070" max="14072" width="9.28515625" style="1" customWidth="1"/>
    <col min="14073" max="14075" width="8.7109375" style="1"/>
    <col min="14076" max="14076" width="0" style="1" hidden="1" customWidth="1"/>
    <col min="14077" max="14323" width="8.7109375" style="1"/>
    <col min="14324" max="14324" width="41.28515625" style="1" customWidth="1"/>
    <col min="14325" max="14325" width="5.42578125" style="1" customWidth="1"/>
    <col min="14326" max="14328" width="9.28515625" style="1" customWidth="1"/>
    <col min="14329" max="14331" width="8.7109375" style="1"/>
    <col min="14332" max="14332" width="0" style="1" hidden="1" customWidth="1"/>
    <col min="14333" max="14579" width="8.7109375" style="1"/>
    <col min="14580" max="14580" width="41.28515625" style="1" customWidth="1"/>
    <col min="14581" max="14581" width="5.42578125" style="1" customWidth="1"/>
    <col min="14582" max="14584" width="9.28515625" style="1" customWidth="1"/>
    <col min="14585" max="14587" width="8.7109375" style="1"/>
    <col min="14588" max="14588" width="0" style="1" hidden="1" customWidth="1"/>
    <col min="14589" max="14835" width="8.7109375" style="1"/>
    <col min="14836" max="14836" width="41.28515625" style="1" customWidth="1"/>
    <col min="14837" max="14837" width="5.42578125" style="1" customWidth="1"/>
    <col min="14838" max="14840" width="9.28515625" style="1" customWidth="1"/>
    <col min="14841" max="14843" width="8.7109375" style="1"/>
    <col min="14844" max="14844" width="0" style="1" hidden="1" customWidth="1"/>
    <col min="14845" max="15091" width="8.7109375" style="1"/>
    <col min="15092" max="15092" width="41.28515625" style="1" customWidth="1"/>
    <col min="15093" max="15093" width="5.42578125" style="1" customWidth="1"/>
    <col min="15094" max="15096" width="9.28515625" style="1" customWidth="1"/>
    <col min="15097" max="15099" width="8.7109375" style="1"/>
    <col min="15100" max="15100" width="0" style="1" hidden="1" customWidth="1"/>
    <col min="15101" max="15347" width="8.7109375" style="1"/>
    <col min="15348" max="15348" width="41.28515625" style="1" customWidth="1"/>
    <col min="15349" max="15349" width="5.42578125" style="1" customWidth="1"/>
    <col min="15350" max="15352" width="9.28515625" style="1" customWidth="1"/>
    <col min="15353" max="15355" width="8.7109375" style="1"/>
    <col min="15356" max="15356" width="0" style="1" hidden="1" customWidth="1"/>
    <col min="15357" max="15603" width="8.7109375" style="1"/>
    <col min="15604" max="15604" width="41.28515625" style="1" customWidth="1"/>
    <col min="15605" max="15605" width="5.42578125" style="1" customWidth="1"/>
    <col min="15606" max="15608" width="9.28515625" style="1" customWidth="1"/>
    <col min="15609" max="15611" width="8.7109375" style="1"/>
    <col min="15612" max="15612" width="0" style="1" hidden="1" customWidth="1"/>
    <col min="15613" max="15859" width="8.7109375" style="1"/>
    <col min="15860" max="15860" width="41.28515625" style="1" customWidth="1"/>
    <col min="15861" max="15861" width="5.42578125" style="1" customWidth="1"/>
    <col min="15862" max="15864" width="9.28515625" style="1" customWidth="1"/>
    <col min="15865" max="15867" width="8.7109375" style="1"/>
    <col min="15868" max="15868" width="0" style="1" hidden="1" customWidth="1"/>
    <col min="15869" max="16115" width="8.7109375" style="1"/>
    <col min="16116" max="16116" width="41.28515625" style="1" customWidth="1"/>
    <col min="16117" max="16117" width="5.42578125" style="1" customWidth="1"/>
    <col min="16118" max="16120" width="9.28515625" style="1" customWidth="1"/>
    <col min="16121" max="16123" width="8.7109375" style="1"/>
    <col min="16124" max="16124" width="0" style="1" hidden="1" customWidth="1"/>
    <col min="16125" max="16384" width="8.7109375" style="1"/>
  </cols>
  <sheetData>
    <row r="1" spans="1:27" ht="13.9" customHeight="1">
      <c r="A1" s="3"/>
      <c r="B1" s="4"/>
      <c r="C1" s="4"/>
      <c r="D1" s="4"/>
      <c r="J1" s="94"/>
      <c r="K1" s="94"/>
      <c r="L1" s="94"/>
      <c r="M1" s="94"/>
    </row>
    <row r="2" spans="1:27" ht="13.9" customHeight="1">
      <c r="A2" s="93"/>
      <c r="B2" s="90" t="s">
        <v>0</v>
      </c>
      <c r="C2" s="90" t="s">
        <v>1</v>
      </c>
      <c r="D2" s="90" t="s">
        <v>2</v>
      </c>
      <c r="E2" s="90" t="s">
        <v>3</v>
      </c>
      <c r="F2" s="90" t="s">
        <v>4</v>
      </c>
      <c r="G2" s="90" t="s">
        <v>5</v>
      </c>
      <c r="H2" s="90" t="s">
        <v>6</v>
      </c>
      <c r="I2" s="90" t="s">
        <v>7</v>
      </c>
      <c r="J2" s="90" t="s">
        <v>8</v>
      </c>
      <c r="K2" s="90" t="s">
        <v>9</v>
      </c>
      <c r="L2" s="90" t="s">
        <v>10</v>
      </c>
      <c r="M2" s="90" t="s">
        <v>11</v>
      </c>
      <c r="N2" s="90" t="s">
        <v>12</v>
      </c>
      <c r="O2" s="90" t="s">
        <v>13</v>
      </c>
      <c r="P2" s="90" t="s">
        <v>14</v>
      </c>
      <c r="Q2" s="90" t="s">
        <v>15</v>
      </c>
      <c r="R2" s="90" t="s">
        <v>16</v>
      </c>
      <c r="S2" s="90" t="s">
        <v>17</v>
      </c>
      <c r="T2" s="90" t="s">
        <v>18</v>
      </c>
      <c r="U2" s="90" t="s">
        <v>19</v>
      </c>
      <c r="V2" s="90" t="s">
        <v>20</v>
      </c>
      <c r="W2" s="90" t="s">
        <v>21</v>
      </c>
      <c r="X2" s="90" t="s">
        <v>22</v>
      </c>
      <c r="Y2" s="90" t="s">
        <v>23</v>
      </c>
    </row>
    <row r="3" spans="1:27" ht="13.9" customHeight="1">
      <c r="A3" s="9" t="s">
        <v>24</v>
      </c>
      <c r="B3" s="33">
        <v>49.5</v>
      </c>
      <c r="C3" s="33">
        <v>92.699999999999989</v>
      </c>
      <c r="D3" s="33">
        <v>282.39999999999998</v>
      </c>
      <c r="E3" s="33">
        <v>22.2</v>
      </c>
      <c r="F3" s="33">
        <v>32</v>
      </c>
      <c r="G3" s="33">
        <v>38.299999999999997</v>
      </c>
      <c r="H3" s="33">
        <f>+I3-E3-F3-G3</f>
        <v>67.800000000000026</v>
      </c>
      <c r="I3" s="74">
        <v>160.30000000000001</v>
      </c>
      <c r="J3" s="74">
        <v>54.1</v>
      </c>
      <c r="K3" s="74">
        <v>89.8</v>
      </c>
      <c r="L3" s="74">
        <v>23.9</v>
      </c>
      <c r="M3" s="74">
        <v>103.7</v>
      </c>
      <c r="N3" s="74">
        <f>+J3+K3+L3+M3</f>
        <v>271.5</v>
      </c>
      <c r="O3" s="74">
        <v>111</v>
      </c>
      <c r="P3" s="74">
        <v>12.2</v>
      </c>
      <c r="Q3" s="74">
        <v>95.4</v>
      </c>
      <c r="R3" s="74">
        <v>59</v>
      </c>
      <c r="S3" s="74">
        <f>+O3+P3+Q3+R3</f>
        <v>277.60000000000002</v>
      </c>
      <c r="T3" s="74">
        <v>78.900000000000006</v>
      </c>
      <c r="U3" s="74">
        <v>90.9</v>
      </c>
      <c r="V3" s="74">
        <v>87.9</v>
      </c>
      <c r="W3" s="74">
        <v>249.6</v>
      </c>
      <c r="X3" s="74">
        <f>+T3+U3+V3+W3</f>
        <v>507.30000000000007</v>
      </c>
      <c r="Y3" s="51">
        <v>181.7</v>
      </c>
    </row>
    <row r="4" spans="1:27" s="2" customFormat="1" ht="13.9" customHeight="1">
      <c r="A4" s="10" t="s">
        <v>25</v>
      </c>
      <c r="B4" s="33">
        <v>-14.399999999999999</v>
      </c>
      <c r="C4" s="33">
        <v>-35.400000000000006</v>
      </c>
      <c r="D4" s="33">
        <v>-90.7</v>
      </c>
      <c r="E4" s="33">
        <v>-7.4</v>
      </c>
      <c r="F4" s="33">
        <v>-10.299999999999999</v>
      </c>
      <c r="G4" s="33">
        <v>-16.100000000000001</v>
      </c>
      <c r="H4" s="33">
        <f t="shared" ref="H4:H24" si="0">+I4-E4-F4-G4</f>
        <v>-39.499999999999993</v>
      </c>
      <c r="I4" s="74">
        <v>-73.3</v>
      </c>
      <c r="J4" s="74">
        <v>-20.9</v>
      </c>
      <c r="K4" s="74">
        <v>-42.8</v>
      </c>
      <c r="L4" s="74">
        <v>-15.599999999999998</v>
      </c>
      <c r="M4" s="74">
        <f>58.8-103.7-0.1</f>
        <v>-45.000000000000007</v>
      </c>
      <c r="N4" s="74">
        <f t="shared" ref="N4:N21" si="1">+J4+K4+L4+M4</f>
        <v>-124.30000000000001</v>
      </c>
      <c r="O4" s="74">
        <v>-45.5</v>
      </c>
      <c r="P4" s="74">
        <v>-6.7</v>
      </c>
      <c r="Q4" s="74">
        <v>-33.9</v>
      </c>
      <c r="R4" s="74">
        <v>-37.299999999999997</v>
      </c>
      <c r="S4" s="74">
        <f>+O4+P4+Q4+R4</f>
        <v>-123.39999999999999</v>
      </c>
      <c r="T4" s="74">
        <v>-60.4</v>
      </c>
      <c r="U4" s="74">
        <v>-51.6</v>
      </c>
      <c r="V4" s="74">
        <v>-38.200000000000003</v>
      </c>
      <c r="W4" s="74">
        <v>-116.2</v>
      </c>
      <c r="X4" s="74">
        <f>+T4+U4+V4+W4+0.1</f>
        <v>-266.29999999999995</v>
      </c>
      <c r="Y4" s="51">
        <v>-72</v>
      </c>
      <c r="AA4" s="98"/>
    </row>
    <row r="5" spans="1:27" s="2" customFormat="1" ht="13.9" customHeight="1">
      <c r="A5" s="11" t="s">
        <v>26</v>
      </c>
      <c r="B5" s="34">
        <v>35.1</v>
      </c>
      <c r="C5" s="34">
        <v>57.299999999999983</v>
      </c>
      <c r="D5" s="34">
        <f t="shared" ref="D5" si="2">SUM(D3:D4)</f>
        <v>191.7</v>
      </c>
      <c r="E5" s="34">
        <f t="shared" ref="E5" si="3">SUM(E3:E4)</f>
        <v>14.799999999999999</v>
      </c>
      <c r="F5" s="34">
        <v>21.700000000000003</v>
      </c>
      <c r="G5" s="34">
        <v>22.199999999999996</v>
      </c>
      <c r="H5" s="34">
        <f t="shared" si="0"/>
        <v>28.300000000000018</v>
      </c>
      <c r="I5" s="75">
        <f t="shared" ref="I5" si="4">SUM(I3:I4)</f>
        <v>87.000000000000014</v>
      </c>
      <c r="J5" s="75">
        <f t="shared" ref="J5:K5" si="5">SUM(J3:J4)</f>
        <v>33.200000000000003</v>
      </c>
      <c r="K5" s="75">
        <f t="shared" si="5"/>
        <v>47</v>
      </c>
      <c r="L5" s="75">
        <v>8.3000000000000007</v>
      </c>
      <c r="M5" s="75">
        <f t="shared" ref="M5" si="6">SUM(M3:M4)</f>
        <v>58.699999999999996</v>
      </c>
      <c r="N5" s="75">
        <f t="shared" si="1"/>
        <v>147.19999999999999</v>
      </c>
      <c r="O5" s="75">
        <v>65.5</v>
      </c>
      <c r="P5" s="75">
        <v>5.4999999999999991</v>
      </c>
      <c r="Q5" s="75">
        <f t="shared" ref="Q5:S5" si="7">SUM(Q3:Q4)</f>
        <v>61.500000000000007</v>
      </c>
      <c r="R5" s="75">
        <f t="shared" si="7"/>
        <v>21.700000000000003</v>
      </c>
      <c r="S5" s="75">
        <f t="shared" si="7"/>
        <v>154.20000000000005</v>
      </c>
      <c r="T5" s="75">
        <f t="shared" ref="T5:X5" si="8">SUM(T3:T4)</f>
        <v>18.500000000000007</v>
      </c>
      <c r="U5" s="75">
        <v>39.300000000000004</v>
      </c>
      <c r="V5" s="75">
        <v>49.7</v>
      </c>
      <c r="W5" s="75">
        <f>SUM(W3:W4)</f>
        <v>133.39999999999998</v>
      </c>
      <c r="X5" s="75">
        <f t="shared" si="8"/>
        <v>241.00000000000011</v>
      </c>
      <c r="Y5" s="35">
        <f t="shared" ref="Y5" si="9">SUM(Y3:Y4)</f>
        <v>109.69999999999999</v>
      </c>
    </row>
    <row r="6" spans="1:27" ht="13.9" customHeight="1">
      <c r="A6" s="12"/>
      <c r="B6" s="52"/>
      <c r="C6" s="52"/>
      <c r="D6" s="52"/>
      <c r="E6" s="52"/>
      <c r="F6" s="52"/>
      <c r="G6" s="52"/>
      <c r="H6" s="52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53"/>
    </row>
    <row r="7" spans="1:27" ht="13.9" customHeight="1">
      <c r="A7" s="10" t="s">
        <v>27</v>
      </c>
      <c r="B7" s="33">
        <v>-13.5</v>
      </c>
      <c r="C7" s="33">
        <v>-21.199999999999996</v>
      </c>
      <c r="D7" s="33">
        <v>-74.099999999999994</v>
      </c>
      <c r="E7" s="33">
        <v>-14.2</v>
      </c>
      <c r="F7" s="33">
        <v>-17.700000000000003</v>
      </c>
      <c r="G7" s="33">
        <v>-17.599999999999994</v>
      </c>
      <c r="H7" s="33">
        <f t="shared" si="0"/>
        <v>-20.799999999999997</v>
      </c>
      <c r="I7" s="74">
        <v>-70.3</v>
      </c>
      <c r="J7" s="74">
        <v>-15.7</v>
      </c>
      <c r="K7" s="74">
        <v>-18.600000000000001</v>
      </c>
      <c r="L7" s="74">
        <v>-7.2</v>
      </c>
      <c r="M7" s="74">
        <v>-19.899999999999999</v>
      </c>
      <c r="N7" s="74">
        <f t="shared" si="1"/>
        <v>-61.4</v>
      </c>
      <c r="O7" s="74">
        <v>-18.2</v>
      </c>
      <c r="P7" s="74">
        <v>-7.9</v>
      </c>
      <c r="Q7" s="74">
        <v>-15</v>
      </c>
      <c r="R7" s="74">
        <v>-14.8</v>
      </c>
      <c r="S7" s="74">
        <f>+O7+P7+Q7+R7</f>
        <v>-55.900000000000006</v>
      </c>
      <c r="T7" s="74">
        <v>-14</v>
      </c>
      <c r="U7" s="74">
        <v>-16.8</v>
      </c>
      <c r="V7" s="74">
        <v>-22.7</v>
      </c>
      <c r="W7" s="74">
        <v>-40.6</v>
      </c>
      <c r="X7" s="74">
        <f t="shared" ref="X7:X10" si="10">+T7+U7+V7+W7</f>
        <v>-94.1</v>
      </c>
      <c r="Y7" s="51">
        <v>-35.200000000000003</v>
      </c>
    </row>
    <row r="8" spans="1:27" ht="13.9" customHeight="1">
      <c r="A8" s="10" t="s">
        <v>28</v>
      </c>
      <c r="B8" s="33">
        <v>-0.2</v>
      </c>
      <c r="C8" s="33">
        <v>-9.9999999999999978E-2</v>
      </c>
      <c r="D8" s="33">
        <v>-0.6</v>
      </c>
      <c r="E8" s="33">
        <v>-0.2</v>
      </c>
      <c r="F8" s="33">
        <v>-9.9999999999999978E-2</v>
      </c>
      <c r="G8" s="33">
        <v>-0.2</v>
      </c>
      <c r="H8" s="33">
        <f t="shared" si="0"/>
        <v>-9.9999999999999978E-2</v>
      </c>
      <c r="I8" s="74">
        <v>-0.6</v>
      </c>
      <c r="J8" s="74">
        <v>-0.1</v>
      </c>
      <c r="K8" s="74">
        <v>-0.2</v>
      </c>
      <c r="L8" s="74">
        <v>-0.2</v>
      </c>
      <c r="M8" s="74">
        <v>-0.2</v>
      </c>
      <c r="N8" s="74">
        <f t="shared" si="1"/>
        <v>-0.7</v>
      </c>
      <c r="O8" s="74">
        <v>-1</v>
      </c>
      <c r="P8" s="74">
        <v>-1.1000000000000001</v>
      </c>
      <c r="Q8" s="74">
        <v>-1.1000000000000001</v>
      </c>
      <c r="R8" s="74">
        <v>-1</v>
      </c>
      <c r="S8" s="74">
        <f>+O8+P8+Q8+R8</f>
        <v>-4.2</v>
      </c>
      <c r="T8" s="74">
        <v>-1</v>
      </c>
      <c r="U8" s="74">
        <v>-1</v>
      </c>
      <c r="V8" s="74">
        <v>-1</v>
      </c>
      <c r="W8" s="74">
        <v>-2.4</v>
      </c>
      <c r="X8" s="74">
        <f t="shared" si="10"/>
        <v>-5.4</v>
      </c>
      <c r="Y8" s="51">
        <v>-1.6</v>
      </c>
    </row>
    <row r="9" spans="1:27" ht="13.9" customHeight="1">
      <c r="A9" s="10" t="s">
        <v>29</v>
      </c>
      <c r="B9" s="13">
        <v>0</v>
      </c>
      <c r="C9" s="13">
        <v>0</v>
      </c>
      <c r="D9" s="13">
        <v>0</v>
      </c>
      <c r="E9" s="13">
        <v>-10.7</v>
      </c>
      <c r="F9" s="13">
        <v>0</v>
      </c>
      <c r="G9" s="13">
        <v>0</v>
      </c>
      <c r="H9" s="13">
        <f t="shared" si="0"/>
        <v>-2.5</v>
      </c>
      <c r="I9" s="13">
        <v>-13.2</v>
      </c>
      <c r="J9" s="13">
        <v>0</v>
      </c>
      <c r="K9" s="13">
        <v>0</v>
      </c>
      <c r="L9" s="13">
        <v>0</v>
      </c>
      <c r="M9" s="13">
        <v>13.3</v>
      </c>
      <c r="N9" s="13">
        <f t="shared" si="1"/>
        <v>13.3</v>
      </c>
      <c r="O9" s="13">
        <v>0</v>
      </c>
      <c r="P9" s="13">
        <v>0</v>
      </c>
      <c r="Q9" s="13">
        <v>0</v>
      </c>
      <c r="R9" s="74">
        <v>0</v>
      </c>
      <c r="S9" s="74">
        <f>+O9+P9+Q9+R9</f>
        <v>0</v>
      </c>
      <c r="T9" s="74">
        <v>0</v>
      </c>
      <c r="U9" s="74">
        <v>0</v>
      </c>
      <c r="V9" s="74">
        <v>0</v>
      </c>
      <c r="W9" s="74">
        <v>-0.4</v>
      </c>
      <c r="X9" s="74">
        <f t="shared" si="10"/>
        <v>-0.4</v>
      </c>
      <c r="Y9" s="51">
        <v>0</v>
      </c>
    </row>
    <row r="10" spans="1:27" ht="13.9" customHeight="1">
      <c r="A10" s="10" t="s">
        <v>30</v>
      </c>
      <c r="B10" s="13">
        <v>0</v>
      </c>
      <c r="C10" s="13">
        <v>0</v>
      </c>
      <c r="D10" s="13">
        <v>0.3</v>
      </c>
      <c r="E10" s="13">
        <v>-1.2</v>
      </c>
      <c r="F10" s="13">
        <v>0</v>
      </c>
      <c r="G10" s="13">
        <v>0</v>
      </c>
      <c r="H10" s="13">
        <f t="shared" si="0"/>
        <v>0</v>
      </c>
      <c r="I10" s="13">
        <v>-1.2</v>
      </c>
      <c r="J10" s="13">
        <v>0</v>
      </c>
      <c r="K10" s="13">
        <v>0</v>
      </c>
      <c r="L10" s="13">
        <v>0</v>
      </c>
      <c r="M10" s="13">
        <v>0</v>
      </c>
      <c r="N10" s="13">
        <f t="shared" si="1"/>
        <v>0</v>
      </c>
      <c r="O10" s="13">
        <v>0</v>
      </c>
      <c r="P10" s="13">
        <v>0</v>
      </c>
      <c r="Q10" s="13">
        <v>0</v>
      </c>
      <c r="R10" s="74">
        <v>0</v>
      </c>
      <c r="S10" s="74">
        <f>+O10+P10+Q10+R10</f>
        <v>0</v>
      </c>
      <c r="T10" s="74">
        <v>0</v>
      </c>
      <c r="U10" s="74">
        <v>0</v>
      </c>
      <c r="V10" s="74">
        <v>0</v>
      </c>
      <c r="W10" s="74">
        <v>0</v>
      </c>
      <c r="X10" s="74">
        <f t="shared" si="10"/>
        <v>0</v>
      </c>
      <c r="Y10" s="51">
        <v>0.2</v>
      </c>
    </row>
    <row r="11" spans="1:27" ht="13.9" customHeight="1">
      <c r="A11" s="11" t="s">
        <v>31</v>
      </c>
      <c r="B11" s="34">
        <v>21.400000000000002</v>
      </c>
      <c r="C11" s="34">
        <v>35.999999999999986</v>
      </c>
      <c r="D11" s="34">
        <f>SUM(D5:D10)</f>
        <v>117.3</v>
      </c>
      <c r="E11" s="34">
        <f>SUM(E5:E10)</f>
        <v>-11.499999999999998</v>
      </c>
      <c r="F11" s="34">
        <v>3.9</v>
      </c>
      <c r="G11" s="34">
        <v>4.4000000000000012</v>
      </c>
      <c r="H11" s="34">
        <f t="shared" si="0"/>
        <v>4.9000000000000137</v>
      </c>
      <c r="I11" s="75">
        <f t="shared" ref="I11" si="11">SUM(I5:I10)</f>
        <v>1.7000000000000164</v>
      </c>
      <c r="J11" s="75">
        <f t="shared" ref="J11:K11" si="12">SUM(J5:J10)</f>
        <v>17.400000000000002</v>
      </c>
      <c r="K11" s="75">
        <f t="shared" si="12"/>
        <v>28.2</v>
      </c>
      <c r="L11" s="75">
        <v>0.90000000000000058</v>
      </c>
      <c r="M11" s="75">
        <f t="shared" ref="M11" si="13">SUM(M5:M10)</f>
        <v>51.899999999999991</v>
      </c>
      <c r="N11" s="75">
        <f t="shared" si="1"/>
        <v>98.399999999999991</v>
      </c>
      <c r="O11" s="75">
        <v>46.3</v>
      </c>
      <c r="P11" s="75">
        <v>-3.5000000000000013</v>
      </c>
      <c r="Q11" s="75">
        <f>SUM(Q5:Q10)</f>
        <v>45.400000000000006</v>
      </c>
      <c r="R11" s="75">
        <f t="shared" ref="R11:S11" si="14">SUM(R5:R10)</f>
        <v>5.9000000000000021</v>
      </c>
      <c r="S11" s="75">
        <f t="shared" si="14"/>
        <v>94.100000000000037</v>
      </c>
      <c r="T11" s="75">
        <f t="shared" ref="T11" si="15">SUM(T5:T10)</f>
        <v>3.5000000000000071</v>
      </c>
      <c r="U11" s="75">
        <v>21.500000000000004</v>
      </c>
      <c r="V11" s="75">
        <v>26.000000000000004</v>
      </c>
      <c r="W11" s="75">
        <f>SUM(W7:W10)+W5+0.1</f>
        <v>90.099999999999966</v>
      </c>
      <c r="X11" s="75">
        <f>SUM(X5:X10)</f>
        <v>141.10000000000011</v>
      </c>
      <c r="Y11" s="35">
        <f t="shared" ref="Y11" si="16">SUM(Y5:Y10)</f>
        <v>73.099999999999994</v>
      </c>
    </row>
    <row r="12" spans="1:27" ht="13.9" customHeight="1">
      <c r="A12" s="14"/>
      <c r="B12" s="54"/>
      <c r="C12" s="54"/>
      <c r="D12" s="54"/>
      <c r="E12" s="54"/>
      <c r="F12" s="54"/>
      <c r="G12" s="54"/>
      <c r="H12" s="54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55"/>
    </row>
    <row r="13" spans="1:27" ht="13.9" customHeight="1">
      <c r="A13" s="10" t="s">
        <v>32</v>
      </c>
      <c r="B13" s="33">
        <v>0.60000000000000009</v>
      </c>
      <c r="C13" s="33">
        <v>0.39999999999999991</v>
      </c>
      <c r="D13" s="33">
        <v>2</v>
      </c>
      <c r="E13" s="33">
        <v>0.4</v>
      </c>
      <c r="F13" s="33">
        <v>0.19999999999999996</v>
      </c>
      <c r="G13" s="33">
        <v>9.9999999999999978E-2</v>
      </c>
      <c r="H13" s="33">
        <f t="shared" si="0"/>
        <v>0.20000000000000007</v>
      </c>
      <c r="I13" s="74">
        <v>0.9</v>
      </c>
      <c r="J13" s="74">
        <v>0.2</v>
      </c>
      <c r="K13" s="74">
        <v>0.2</v>
      </c>
      <c r="L13" s="74">
        <v>0.2</v>
      </c>
      <c r="M13" s="74">
        <v>0.1</v>
      </c>
      <c r="N13" s="74">
        <f t="shared" si="1"/>
        <v>0.70000000000000007</v>
      </c>
      <c r="O13" s="74">
        <v>0.1</v>
      </c>
      <c r="P13" s="74">
        <v>0.1</v>
      </c>
      <c r="Q13" s="74">
        <v>0.3</v>
      </c>
      <c r="R13" s="74">
        <v>1.2</v>
      </c>
      <c r="S13" s="74">
        <f>+O13+P13+Q13+R13</f>
        <v>1.7</v>
      </c>
      <c r="T13" s="74">
        <v>1.6</v>
      </c>
      <c r="U13" s="74">
        <v>2</v>
      </c>
      <c r="V13" s="74">
        <v>2.5</v>
      </c>
      <c r="W13" s="74">
        <v>2.1</v>
      </c>
      <c r="X13" s="74">
        <f t="shared" ref="X13" si="17">+T13+U13+V13+W13</f>
        <v>8.1999999999999993</v>
      </c>
      <c r="Y13" s="51">
        <v>1.5</v>
      </c>
    </row>
    <row r="14" spans="1:27" ht="13.9" customHeight="1">
      <c r="A14" s="10" t="s">
        <v>33</v>
      </c>
      <c r="B14" s="33">
        <v>-0.2</v>
      </c>
      <c r="C14" s="33">
        <v>-0.29999999999999993</v>
      </c>
      <c r="D14" s="33">
        <v>-0.7</v>
      </c>
      <c r="E14" s="13">
        <v>0</v>
      </c>
      <c r="F14" s="13">
        <v>0</v>
      </c>
      <c r="G14" s="13">
        <v>0</v>
      </c>
      <c r="H14" s="13">
        <f t="shared" si="0"/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f t="shared" si="1"/>
        <v>0</v>
      </c>
      <c r="O14" s="13">
        <v>0</v>
      </c>
      <c r="P14" s="13">
        <v>0</v>
      </c>
      <c r="Q14" s="13">
        <v>0</v>
      </c>
      <c r="R14" s="74">
        <v>-0.5</v>
      </c>
      <c r="S14" s="74">
        <f>+O14+P14+Q14+R14</f>
        <v>-0.5</v>
      </c>
      <c r="T14" s="74">
        <v>-1.6</v>
      </c>
      <c r="U14" s="74">
        <v>-2.7</v>
      </c>
      <c r="V14" s="74">
        <v>-5</v>
      </c>
      <c r="W14" s="74">
        <f>+X14-T14-U14-V14</f>
        <v>0.99999999999999911</v>
      </c>
      <c r="X14" s="74">
        <v>-8.3000000000000007</v>
      </c>
      <c r="Y14" s="51">
        <v>-2.9</v>
      </c>
    </row>
    <row r="15" spans="1:27" ht="13.9" customHeight="1">
      <c r="A15" s="10" t="s">
        <v>34</v>
      </c>
      <c r="B15" s="33">
        <v>-0.29999999999999982</v>
      </c>
      <c r="C15" s="33">
        <v>-1.6000000000000005</v>
      </c>
      <c r="D15" s="33">
        <f>2.1-9.4</f>
        <v>-7.3000000000000007</v>
      </c>
      <c r="E15" s="33">
        <v>-5.9</v>
      </c>
      <c r="F15" s="33">
        <v>-3.7999999999999989</v>
      </c>
      <c r="G15" s="33">
        <v>-2.9000000000000004</v>
      </c>
      <c r="H15" s="33">
        <f t="shared" si="0"/>
        <v>-2.2000000000000011</v>
      </c>
      <c r="I15" s="74">
        <v>-14.8</v>
      </c>
      <c r="J15" s="74">
        <v>0.1</v>
      </c>
      <c r="K15" s="74">
        <v>-3.9</v>
      </c>
      <c r="L15" s="74">
        <v>-3</v>
      </c>
      <c r="M15" s="74">
        <v>-3.5</v>
      </c>
      <c r="N15" s="74">
        <f t="shared" si="1"/>
        <v>-10.3</v>
      </c>
      <c r="O15" s="74">
        <v>-0.5</v>
      </c>
      <c r="P15" s="74">
        <v>-2.1</v>
      </c>
      <c r="Q15" s="74">
        <v>-2.4</v>
      </c>
      <c r="R15" s="74">
        <f>-7-R14</f>
        <v>-6.5</v>
      </c>
      <c r="S15" s="74">
        <f>+O15+P15+Q15+R15</f>
        <v>-11.5</v>
      </c>
      <c r="T15" s="74">
        <v>-3.3</v>
      </c>
      <c r="U15" s="74">
        <v>-5</v>
      </c>
      <c r="V15" s="74">
        <v>-6</v>
      </c>
      <c r="W15" s="74">
        <f>+X15-V15-U15-T15</f>
        <v>-4.2</v>
      </c>
      <c r="X15" s="74">
        <f>-17.7-0.7-0.1</f>
        <v>-18.5</v>
      </c>
      <c r="Y15" s="51">
        <v>-10.5</v>
      </c>
    </row>
    <row r="16" spans="1:27" ht="13.9" customHeight="1">
      <c r="A16" s="11" t="s">
        <v>35</v>
      </c>
      <c r="B16" s="56">
        <v>0.10000000000000026</v>
      </c>
      <c r="C16" s="56">
        <v>-1.5000000000000004</v>
      </c>
      <c r="D16" s="56">
        <f t="shared" ref="D16:E16" si="18">SUM(D13:D15)</f>
        <v>-6.0000000000000009</v>
      </c>
      <c r="E16" s="56">
        <f t="shared" si="18"/>
        <v>-5.5</v>
      </c>
      <c r="F16" s="56">
        <v>-3.5999999999999988</v>
      </c>
      <c r="G16" s="56">
        <v>-2.8000000000000003</v>
      </c>
      <c r="H16" s="56">
        <f t="shared" si="0"/>
        <v>-2.0000000000000013</v>
      </c>
      <c r="I16" s="78">
        <f t="shared" ref="I16" si="19">SUM(I13:I15)</f>
        <v>-13.9</v>
      </c>
      <c r="J16" s="78">
        <f t="shared" ref="J16:K16" si="20">SUM(J13:J15)</f>
        <v>0.30000000000000004</v>
      </c>
      <c r="K16" s="78">
        <f t="shared" si="20"/>
        <v>-3.6999999999999997</v>
      </c>
      <c r="L16" s="78">
        <v>-2.8</v>
      </c>
      <c r="M16" s="78">
        <f t="shared" ref="M16" si="21">SUM(M13:M15)</f>
        <v>-3.4</v>
      </c>
      <c r="N16" s="78">
        <f t="shared" si="1"/>
        <v>-9.6</v>
      </c>
      <c r="O16" s="78">
        <v>-0.4</v>
      </c>
      <c r="P16" s="78">
        <v>-2</v>
      </c>
      <c r="Q16" s="78">
        <f t="shared" ref="Q16:S16" si="22">SUM(Q13:Q15)</f>
        <v>-2.1</v>
      </c>
      <c r="R16" s="78">
        <f t="shared" si="22"/>
        <v>-5.8</v>
      </c>
      <c r="S16" s="78">
        <f t="shared" si="22"/>
        <v>-10.3</v>
      </c>
      <c r="T16" s="78">
        <f t="shared" ref="T16" si="23">SUM(T13:T15)</f>
        <v>-3.3</v>
      </c>
      <c r="U16" s="78">
        <v>-5.7</v>
      </c>
      <c r="V16" s="78">
        <v>-8.5</v>
      </c>
      <c r="W16" s="78">
        <f>SUM(W13:W15)</f>
        <v>-1.100000000000001</v>
      </c>
      <c r="X16" s="78">
        <f>SUM(X13:X15)</f>
        <v>-18.600000000000001</v>
      </c>
      <c r="Y16" s="57">
        <f t="shared" ref="Y16" si="24">SUM(Y13:Y15)</f>
        <v>-11.9</v>
      </c>
    </row>
    <row r="17" spans="1:25" ht="13.9" customHeight="1">
      <c r="A17" s="16"/>
      <c r="B17" s="58"/>
      <c r="C17" s="58"/>
      <c r="D17" s="58"/>
      <c r="E17" s="58"/>
      <c r="F17" s="58"/>
      <c r="G17" s="58"/>
      <c r="H17" s="58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59"/>
    </row>
    <row r="18" spans="1:25" ht="13.9" customHeight="1">
      <c r="A18" s="11" t="s">
        <v>36</v>
      </c>
      <c r="B18" s="56">
        <v>21.500000000000004</v>
      </c>
      <c r="C18" s="56">
        <v>34.499999999999986</v>
      </c>
      <c r="D18" s="56">
        <f t="shared" ref="D18:E18" si="25">+D11+D16</f>
        <v>111.3</v>
      </c>
      <c r="E18" s="56">
        <f t="shared" si="25"/>
        <v>-17</v>
      </c>
      <c r="F18" s="56">
        <v>0.30000000000000115</v>
      </c>
      <c r="G18" s="56">
        <v>1.600000000000001</v>
      </c>
      <c r="H18" s="56">
        <f t="shared" si="0"/>
        <v>2.900000000000015</v>
      </c>
      <c r="I18" s="78">
        <f t="shared" ref="I18" si="26">+I11+I16</f>
        <v>-12.199999999999983</v>
      </c>
      <c r="J18" s="78">
        <f t="shared" ref="J18:K18" si="27">+J11+J16</f>
        <v>17.700000000000003</v>
      </c>
      <c r="K18" s="78">
        <f t="shared" si="27"/>
        <v>24.5</v>
      </c>
      <c r="L18" s="78">
        <v>-1.8999999999999992</v>
      </c>
      <c r="M18" s="78">
        <f t="shared" ref="M18" si="28">+M11+M16</f>
        <v>48.499999999999993</v>
      </c>
      <c r="N18" s="78">
        <f t="shared" si="1"/>
        <v>88.8</v>
      </c>
      <c r="O18" s="78">
        <v>45.9</v>
      </c>
      <c r="P18" s="78">
        <v>-5.5000000000000018</v>
      </c>
      <c r="Q18" s="78">
        <f t="shared" ref="Q18:S18" si="29">+Q11+Q16</f>
        <v>43.300000000000004</v>
      </c>
      <c r="R18" s="78">
        <f t="shared" si="29"/>
        <v>0.10000000000000231</v>
      </c>
      <c r="S18" s="78">
        <f t="shared" si="29"/>
        <v>83.80000000000004</v>
      </c>
      <c r="T18" s="78">
        <f t="shared" ref="T18:X18" si="30">+T11+T16</f>
        <v>0.20000000000000728</v>
      </c>
      <c r="U18" s="78">
        <v>15.800000000000004</v>
      </c>
      <c r="V18" s="78">
        <v>17.500000000000004</v>
      </c>
      <c r="W18" s="78">
        <f>+W11+W16</f>
        <v>88.999999999999972</v>
      </c>
      <c r="X18" s="78">
        <f t="shared" si="30"/>
        <v>122.50000000000011</v>
      </c>
      <c r="Y18" s="57">
        <f t="shared" ref="Y18" si="31">+Y11+Y16</f>
        <v>61.199999999999996</v>
      </c>
    </row>
    <row r="19" spans="1:25" ht="13.9" customHeight="1">
      <c r="A19" s="17"/>
      <c r="B19" s="52"/>
      <c r="C19" s="52"/>
      <c r="D19" s="52"/>
      <c r="E19" s="52"/>
      <c r="F19" s="52"/>
      <c r="G19" s="52"/>
      <c r="H19" s="52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53"/>
    </row>
    <row r="20" spans="1:25" ht="13.9" customHeight="1">
      <c r="A20" s="10" t="s">
        <v>37</v>
      </c>
      <c r="B20" s="33">
        <v>-11.5</v>
      </c>
      <c r="C20" s="33">
        <v>-8.2999999999999972</v>
      </c>
      <c r="D20" s="33">
        <v>-38.799999999999997</v>
      </c>
      <c r="E20" s="33">
        <v>-6.6</v>
      </c>
      <c r="F20" s="33">
        <v>-5.9</v>
      </c>
      <c r="G20" s="33">
        <v>-8.3999999999999986</v>
      </c>
      <c r="H20" s="33">
        <f t="shared" si="0"/>
        <v>-8</v>
      </c>
      <c r="I20" s="74">
        <v>-28.9</v>
      </c>
      <c r="J20" s="74">
        <v>-9.6999999999999993</v>
      </c>
      <c r="K20" s="74">
        <v>-9</v>
      </c>
      <c r="L20" s="74">
        <v>-8.4</v>
      </c>
      <c r="M20" s="74">
        <v>-9.6999999999999993</v>
      </c>
      <c r="N20" s="74">
        <f t="shared" si="1"/>
        <v>-36.799999999999997</v>
      </c>
      <c r="O20" s="74">
        <v>-10.199999999999999</v>
      </c>
      <c r="P20" s="74">
        <v>-11</v>
      </c>
      <c r="Q20" s="74">
        <v>-9.5</v>
      </c>
      <c r="R20" s="74">
        <v>-8.1</v>
      </c>
      <c r="S20" s="74">
        <f>+O20+P20+Q20+R20</f>
        <v>-38.799999999999997</v>
      </c>
      <c r="T20" s="74">
        <v>-5.2</v>
      </c>
      <c r="U20" s="74">
        <v>-10.5</v>
      </c>
      <c r="V20" s="74">
        <v>-17</v>
      </c>
      <c r="W20" s="74">
        <v>-8.8000000000000007</v>
      </c>
      <c r="X20" s="74">
        <f>+T20+U20+V20+W20</f>
        <v>-41.5</v>
      </c>
      <c r="Y20" s="51">
        <v>-13.8</v>
      </c>
    </row>
    <row r="21" spans="1:25" ht="13.9" customHeight="1">
      <c r="A21" s="11" t="s">
        <v>38</v>
      </c>
      <c r="B21" s="34">
        <v>10.000000000000004</v>
      </c>
      <c r="C21" s="34">
        <v>26.199999999999989</v>
      </c>
      <c r="D21" s="34">
        <f t="shared" ref="D21:E21" si="32">+D18+D20</f>
        <v>72.5</v>
      </c>
      <c r="E21" s="34">
        <f t="shared" si="32"/>
        <v>-23.6</v>
      </c>
      <c r="F21" s="34">
        <v>-5.6</v>
      </c>
      <c r="G21" s="34">
        <v>-6.7999999999999972</v>
      </c>
      <c r="H21" s="34">
        <f t="shared" si="0"/>
        <v>-5.0999999999999819</v>
      </c>
      <c r="I21" s="75">
        <f t="shared" ref="I21" si="33">+I18+I20</f>
        <v>-41.09999999999998</v>
      </c>
      <c r="J21" s="75">
        <f t="shared" ref="J21:K21" si="34">+J18+J20</f>
        <v>8.0000000000000036</v>
      </c>
      <c r="K21" s="75">
        <f t="shared" si="34"/>
        <v>15.5</v>
      </c>
      <c r="L21" s="75">
        <v>-10.299999999999999</v>
      </c>
      <c r="M21" s="75">
        <f t="shared" ref="M21" si="35">+M18+M20</f>
        <v>38.799999999999997</v>
      </c>
      <c r="N21" s="75">
        <f t="shared" si="1"/>
        <v>52</v>
      </c>
      <c r="O21" s="75">
        <v>35.700000000000003</v>
      </c>
      <c r="P21" s="75">
        <v>-16.5</v>
      </c>
      <c r="Q21" s="75">
        <f t="shared" ref="Q21:S21" si="36">+Q18+Q20</f>
        <v>33.800000000000004</v>
      </c>
      <c r="R21" s="75">
        <f t="shared" si="36"/>
        <v>-7.9999999999999973</v>
      </c>
      <c r="S21" s="75">
        <f t="shared" si="36"/>
        <v>45.000000000000043</v>
      </c>
      <c r="T21" s="75">
        <f t="shared" ref="T21:X21" si="37">+T18+T20</f>
        <v>-4.9999999999999929</v>
      </c>
      <c r="U21" s="75">
        <v>5.3000000000000043</v>
      </c>
      <c r="V21" s="75">
        <v>0.50000000000000355</v>
      </c>
      <c r="W21" s="75">
        <f>+W18+W20</f>
        <v>80.199999999999974</v>
      </c>
      <c r="X21" s="75">
        <f t="shared" si="37"/>
        <v>81.000000000000114</v>
      </c>
      <c r="Y21" s="35">
        <f t="shared" ref="Y21" si="38">+Y18+Y20</f>
        <v>47.399999999999991</v>
      </c>
    </row>
    <row r="22" spans="1:25" ht="13.9" customHeight="1">
      <c r="A22" s="17"/>
      <c r="B22" s="60"/>
      <c r="C22" s="60"/>
      <c r="D22" s="60"/>
      <c r="E22" s="60"/>
      <c r="F22" s="60"/>
      <c r="G22" s="60"/>
      <c r="H22" s="6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61"/>
    </row>
    <row r="23" spans="1:25" ht="13.9" customHeight="1">
      <c r="A23" s="10" t="s">
        <v>39</v>
      </c>
      <c r="B23" s="33">
        <v>7.2000000000000028</v>
      </c>
      <c r="C23" s="33">
        <v>26.200000000000031</v>
      </c>
      <c r="D23" s="33">
        <f>+D21-D24</f>
        <v>58</v>
      </c>
      <c r="E23" s="33">
        <f>+E21-E24</f>
        <v>-23.6</v>
      </c>
      <c r="F23" s="33">
        <v>-5.6</v>
      </c>
      <c r="G23" s="33">
        <v>-6.7999999999999972</v>
      </c>
      <c r="H23" s="33">
        <f t="shared" si="0"/>
        <v>-5.0999999999999819</v>
      </c>
      <c r="I23" s="13">
        <f t="shared" ref="I23" si="39">+I21-I24</f>
        <v>-41.09999999999998</v>
      </c>
      <c r="J23" s="13">
        <f t="shared" ref="J23:K23" si="40">+J21-J24</f>
        <v>8.0000000000000036</v>
      </c>
      <c r="K23" s="13">
        <f t="shared" si="40"/>
        <v>15.5</v>
      </c>
      <c r="L23" s="13">
        <v>-10.299999999999999</v>
      </c>
      <c r="M23" s="13">
        <f t="shared" ref="M23:N23" si="41">+M21-M24</f>
        <v>38.799999999999997</v>
      </c>
      <c r="N23" s="13">
        <f t="shared" si="41"/>
        <v>52</v>
      </c>
      <c r="O23" s="13">
        <v>35.700000000000003</v>
      </c>
      <c r="P23" s="13">
        <v>-16.5</v>
      </c>
      <c r="Q23" s="13">
        <f>+Q21-Q24</f>
        <v>33.800000000000004</v>
      </c>
      <c r="R23" s="13">
        <f t="shared" ref="R23:S23" si="42">+R21-R24</f>
        <v>-7.9999999999999973</v>
      </c>
      <c r="S23" s="13">
        <f t="shared" si="42"/>
        <v>45.000000000000043</v>
      </c>
      <c r="T23" s="13">
        <f t="shared" ref="T23" si="43">+T21-T24</f>
        <v>-4.9999999999999929</v>
      </c>
      <c r="U23" s="13">
        <v>5.3000000000000043</v>
      </c>
      <c r="V23" s="13">
        <v>0.50000000000000355</v>
      </c>
      <c r="W23" s="13">
        <f>+W21</f>
        <v>80.199999999999974</v>
      </c>
      <c r="X23" s="13">
        <f>+X21-X24</f>
        <v>81.000000000000114</v>
      </c>
      <c r="Y23" s="41">
        <f t="shared" ref="Y23" si="44">+Y21-Y24</f>
        <v>47.399999999999991</v>
      </c>
    </row>
    <row r="24" spans="1:25" ht="13.9" customHeight="1">
      <c r="A24" s="10" t="s">
        <v>40</v>
      </c>
      <c r="B24" s="13">
        <v>2.8000000000000007</v>
      </c>
      <c r="C24" s="13">
        <v>0</v>
      </c>
      <c r="D24" s="13">
        <v>14.5</v>
      </c>
      <c r="E24" s="13">
        <v>0</v>
      </c>
      <c r="F24" s="13">
        <v>0</v>
      </c>
      <c r="G24" s="13">
        <v>0</v>
      </c>
      <c r="H24" s="13">
        <f t="shared" si="0"/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41">
        <v>0</v>
      </c>
    </row>
    <row r="25" spans="1:25" ht="13.9" customHeight="1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42"/>
    </row>
    <row r="26" spans="1:25" ht="13.9" customHeight="1">
      <c r="A26" s="10" t="s">
        <v>41</v>
      </c>
      <c r="B26" s="36">
        <f>+B23/187400*1000</f>
        <v>3.8420490928495213E-2</v>
      </c>
      <c r="C26" s="36">
        <f>+C23/187400*1000</f>
        <v>0.13980789754535769</v>
      </c>
      <c r="D26" s="36">
        <f>+D23/187400*1000</f>
        <v>0.3094983991462113</v>
      </c>
      <c r="E26" s="36">
        <f>+E23/208767.5*1000</f>
        <v>-0.11304441543822674</v>
      </c>
      <c r="F26" s="36">
        <f>+F23/234304.3*1000</f>
        <v>-2.390054301180132E-2</v>
      </c>
      <c r="G26" s="36">
        <f>+G23/234304.3*1000</f>
        <v>-2.9022087942901592E-2</v>
      </c>
      <c r="H26" s="36">
        <f>+H23/234304.3*1000</f>
        <v>-2.1766565957176125E-2</v>
      </c>
      <c r="I26" s="36">
        <f>+I23/228024.8*1000</f>
        <v>-0.1802435524556977</v>
      </c>
      <c r="J26" s="36">
        <f>+J21*1000000/252466633</f>
        <v>3.1687355691078604E-2</v>
      </c>
      <c r="K26" s="36">
        <f>+K21*1000000/257994300</f>
        <v>6.0078846703202356E-2</v>
      </c>
      <c r="L26" s="36">
        <v>-3.992336264793446E-2</v>
      </c>
      <c r="M26" s="36">
        <v>0.15</v>
      </c>
      <c r="N26" s="36">
        <f>+N23/256631*1000</f>
        <v>0.20262555965569243</v>
      </c>
      <c r="O26" s="36">
        <f>+O23/257994*1000</f>
        <v>0.13837531105374545</v>
      </c>
      <c r="P26" s="36">
        <v>-6.3954975697109243E-2</v>
      </c>
      <c r="Q26" s="36">
        <f>+Q23/257994*1000</f>
        <v>0.131010798700745</v>
      </c>
      <c r="R26" s="36">
        <f t="shared" ref="R26:S26" si="45">+R23/257994*1000</f>
        <v>-3.1008473065265073E-2</v>
      </c>
      <c r="S26" s="36">
        <f t="shared" si="45"/>
        <v>0.17442266099211626</v>
      </c>
      <c r="T26" s="36">
        <f t="shared" ref="T26" si="46">+T23/257994*1000</f>
        <v>-1.9380295665790651E-2</v>
      </c>
      <c r="U26" s="36">
        <v>2.0543113405738136E-2</v>
      </c>
      <c r="V26" s="36">
        <v>1.9380295665790816E-3</v>
      </c>
      <c r="W26" s="36">
        <v>0.31</v>
      </c>
      <c r="X26" s="36">
        <v>0.31</v>
      </c>
      <c r="Y26" s="104">
        <f>+Y23/257994*1000</f>
        <v>0.18372520291169558</v>
      </c>
    </row>
    <row r="27" spans="1:25" ht="13.9" customHeight="1">
      <c r="A27" s="10" t="s">
        <v>42</v>
      </c>
      <c r="B27" s="36">
        <f t="shared" ref="B27:C27" si="47">+B26</f>
        <v>3.8420490928495213E-2</v>
      </c>
      <c r="C27" s="36">
        <f t="shared" si="47"/>
        <v>0.13980789754535769</v>
      </c>
      <c r="D27" s="36">
        <f>+D26</f>
        <v>0.3094983991462113</v>
      </c>
      <c r="E27" s="36">
        <f>+E26</f>
        <v>-0.11304441543822674</v>
      </c>
      <c r="F27" s="36">
        <f t="shared" ref="F27:H27" si="48">+F26</f>
        <v>-2.390054301180132E-2</v>
      </c>
      <c r="G27" s="36">
        <f t="shared" si="48"/>
        <v>-2.9022087942901592E-2</v>
      </c>
      <c r="H27" s="36">
        <f t="shared" si="48"/>
        <v>-2.1766565957176125E-2</v>
      </c>
      <c r="I27" s="36">
        <f t="shared" ref="I27" si="49">+I26</f>
        <v>-0.1802435524556977</v>
      </c>
      <c r="J27" s="36">
        <f t="shared" ref="J27:K27" si="50">+J26</f>
        <v>3.1687355691078604E-2</v>
      </c>
      <c r="K27" s="36">
        <f t="shared" si="50"/>
        <v>6.0078846703202356E-2</v>
      </c>
      <c r="L27" s="36">
        <v>-4.0108650205720957E-2</v>
      </c>
      <c r="M27" s="36">
        <f>+M26</f>
        <v>0.15</v>
      </c>
      <c r="N27" s="36">
        <f t="shared" ref="N27" si="51">+N26</f>
        <v>0.20262555965569243</v>
      </c>
      <c r="O27" s="36">
        <f>+O26</f>
        <v>0.13837531105374545</v>
      </c>
      <c r="P27" s="36">
        <v>-6.3954975697109243E-2</v>
      </c>
      <c r="Q27" s="36">
        <f>+Q26</f>
        <v>0.131010798700745</v>
      </c>
      <c r="R27" s="36">
        <f t="shared" ref="R27:S27" si="52">+R26</f>
        <v>-3.1008473065265073E-2</v>
      </c>
      <c r="S27" s="36">
        <f t="shared" si="52"/>
        <v>0.17442266099211626</v>
      </c>
      <c r="T27" s="36">
        <f>+T23/261813*1000</f>
        <v>-1.9097600195559398E-2</v>
      </c>
      <c r="U27" s="36">
        <v>2.0243456207293009E-2</v>
      </c>
      <c r="V27" s="36">
        <v>1.9097600195559562E-3</v>
      </c>
      <c r="W27" s="36">
        <v>0.31</v>
      </c>
      <c r="X27" s="36">
        <v>0.31</v>
      </c>
      <c r="Y27" s="104">
        <f>+Y23/261813*1000</f>
        <v>0.1810452498539033</v>
      </c>
    </row>
    <row r="28" spans="1:25" ht="12.75" customHeight="1">
      <c r="A28" s="4"/>
      <c r="B28" s="4"/>
      <c r="C28" s="4"/>
      <c r="D28" s="4"/>
      <c r="I28" s="38"/>
      <c r="J28" s="38"/>
      <c r="K28" s="38"/>
      <c r="L28" s="38"/>
      <c r="M28" s="39"/>
      <c r="N28" s="38"/>
      <c r="O28" s="38"/>
      <c r="P28" s="38"/>
      <c r="Q28" s="38"/>
      <c r="R28" s="38"/>
      <c r="S28" s="38"/>
      <c r="T28" s="38"/>
      <c r="U28" s="38"/>
      <c r="V28" s="38"/>
      <c r="W28" s="38"/>
      <c r="Y28" s="30"/>
    </row>
    <row r="29" spans="1:25" ht="63" customHeight="1">
      <c r="A29" s="95"/>
      <c r="B29" s="95"/>
      <c r="C29" s="95"/>
      <c r="D29" s="95"/>
      <c r="E29" s="95"/>
      <c r="F29" s="50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1"/>
      <c r="Y29" s="38"/>
    </row>
    <row r="30" spans="1:25" ht="12.75" customHeight="1">
      <c r="A30" s="37"/>
      <c r="B30" s="37"/>
      <c r="C30" s="37"/>
      <c r="D30" s="37"/>
      <c r="E30" s="37"/>
      <c r="F30" s="37"/>
      <c r="X30" s="37"/>
    </row>
    <row r="31" spans="1:25" ht="12.75" customHeight="1">
      <c r="A31" s="5"/>
      <c r="B31" s="88"/>
      <c r="C31" s="7"/>
    </row>
    <row r="32" spans="1:25" ht="12.75" customHeight="1">
      <c r="A32" s="5"/>
      <c r="B32" s="7"/>
      <c r="C32" s="7"/>
      <c r="D32" s="7"/>
    </row>
    <row r="33" spans="1:4" ht="12.75" customHeight="1">
      <c r="A33" s="5"/>
      <c r="B33" s="7"/>
      <c r="C33" s="7"/>
      <c r="D33" s="7"/>
    </row>
    <row r="34" spans="1:4" ht="12.75" customHeight="1">
      <c r="A34" s="4"/>
      <c r="B34" s="8"/>
      <c r="C34" s="8"/>
      <c r="D34" s="8"/>
    </row>
    <row r="35" spans="1:4" ht="12.75" customHeight="1">
      <c r="A35" s="4"/>
      <c r="B35" s="4"/>
      <c r="C35" s="4"/>
      <c r="D35" s="4"/>
    </row>
    <row r="36" spans="1:4">
      <c r="A36" s="4"/>
      <c r="B36" s="4"/>
      <c r="C36" s="4"/>
      <c r="D36" s="4"/>
    </row>
    <row r="37" spans="1:4">
      <c r="A37" s="4"/>
      <c r="B37" s="4"/>
      <c r="C37" s="4"/>
      <c r="D37" s="4"/>
    </row>
    <row r="38" spans="1:4">
      <c r="A38" s="4"/>
      <c r="B38" s="4"/>
      <c r="C38" s="4"/>
      <c r="D38" s="4"/>
    </row>
    <row r="39" spans="1:4">
      <c r="A39" s="4"/>
      <c r="B39" s="4"/>
      <c r="C39" s="4"/>
      <c r="D39" s="4"/>
    </row>
    <row r="40" spans="1:4">
      <c r="A40" s="4"/>
      <c r="B40" s="4"/>
      <c r="C40" s="4"/>
      <c r="D40" s="4"/>
    </row>
    <row r="41" spans="1:4">
      <c r="A41" s="4"/>
      <c r="B41" s="4"/>
      <c r="C41" s="4"/>
      <c r="D41" s="4"/>
    </row>
    <row r="42" spans="1:4">
      <c r="A42" s="4"/>
      <c r="B42" s="4"/>
      <c r="C42" s="4"/>
      <c r="D42" s="4"/>
    </row>
    <row r="43" spans="1:4">
      <c r="A43" s="4"/>
      <c r="B43" s="4"/>
      <c r="C43" s="4"/>
      <c r="D43" s="4"/>
    </row>
    <row r="44" spans="1:4">
      <c r="A44" s="4"/>
      <c r="B44" s="4"/>
      <c r="C44" s="4"/>
      <c r="D44" s="4"/>
    </row>
    <row r="45" spans="1:4">
      <c r="A45" s="4"/>
      <c r="B45" s="4"/>
      <c r="C45" s="4"/>
      <c r="D45" s="4"/>
    </row>
    <row r="46" spans="1:4">
      <c r="A46" s="6"/>
      <c r="B46" s="6"/>
      <c r="C46" s="6"/>
      <c r="D46" s="6"/>
    </row>
  </sheetData>
  <phoneticPr fontId="9" type="noConversion"/>
  <pageMargins left="0.7" right="0.7" top="0.75" bottom="0.75" header="0.3" footer="0.3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U45"/>
  <sheetViews>
    <sheetView showGridLines="0" zoomScale="90" zoomScaleNormal="90" workbookViewId="0">
      <pane xSplit="1" ySplit="2" topLeftCell="D3" activePane="bottomRight" state="frozen"/>
      <selection pane="bottomRight" activeCell="S13" sqref="S13"/>
      <selection pane="bottomLeft" activeCell="A3" sqref="A3"/>
      <selection pane="topRight" activeCell="B1" sqref="B1"/>
    </sheetView>
  </sheetViews>
  <sheetFormatPr defaultColWidth="8.7109375" defaultRowHeight="13.9" customHeight="1"/>
  <cols>
    <col min="1" max="1" width="41.28515625" style="20" customWidth="1"/>
    <col min="2" max="7" width="10.7109375" style="20" hidden="1" customWidth="1"/>
    <col min="8" max="19" width="10.7109375" style="20" customWidth="1"/>
    <col min="20" max="222" width="8.7109375" style="20"/>
    <col min="223" max="223" width="42" style="20" customWidth="1"/>
    <col min="224" max="224" width="6.42578125" style="20" customWidth="1"/>
    <col min="225" max="227" width="10.28515625" style="20" customWidth="1"/>
    <col min="228" max="228" width="0" style="20" hidden="1" customWidth="1"/>
    <col min="229" max="229" width="10.28515625" style="20" customWidth="1"/>
    <col min="230" max="478" width="8.7109375" style="20"/>
    <col min="479" max="479" width="42" style="20" customWidth="1"/>
    <col min="480" max="480" width="6.42578125" style="20" customWidth="1"/>
    <col min="481" max="483" width="10.28515625" style="20" customWidth="1"/>
    <col min="484" max="484" width="0" style="20" hidden="1" customWidth="1"/>
    <col min="485" max="485" width="10.28515625" style="20" customWidth="1"/>
    <col min="486" max="734" width="8.7109375" style="20"/>
    <col min="735" max="735" width="42" style="20" customWidth="1"/>
    <col min="736" max="736" width="6.42578125" style="20" customWidth="1"/>
    <col min="737" max="739" width="10.28515625" style="20" customWidth="1"/>
    <col min="740" max="740" width="0" style="20" hidden="1" customWidth="1"/>
    <col min="741" max="741" width="10.28515625" style="20" customWidth="1"/>
    <col min="742" max="990" width="8.7109375" style="20"/>
    <col min="991" max="991" width="42" style="20" customWidth="1"/>
    <col min="992" max="992" width="6.42578125" style="20" customWidth="1"/>
    <col min="993" max="995" width="10.28515625" style="20" customWidth="1"/>
    <col min="996" max="996" width="0" style="20" hidden="1" customWidth="1"/>
    <col min="997" max="997" width="10.28515625" style="20" customWidth="1"/>
    <col min="998" max="1246" width="8.7109375" style="20"/>
    <col min="1247" max="1247" width="42" style="20" customWidth="1"/>
    <col min="1248" max="1248" width="6.42578125" style="20" customWidth="1"/>
    <col min="1249" max="1251" width="10.28515625" style="20" customWidth="1"/>
    <col min="1252" max="1252" width="0" style="20" hidden="1" customWidth="1"/>
    <col min="1253" max="1253" width="10.28515625" style="20" customWidth="1"/>
    <col min="1254" max="1502" width="8.7109375" style="20"/>
    <col min="1503" max="1503" width="42" style="20" customWidth="1"/>
    <col min="1504" max="1504" width="6.42578125" style="20" customWidth="1"/>
    <col min="1505" max="1507" width="10.28515625" style="20" customWidth="1"/>
    <col min="1508" max="1508" width="0" style="20" hidden="1" customWidth="1"/>
    <col min="1509" max="1509" width="10.28515625" style="20" customWidth="1"/>
    <col min="1510" max="1758" width="8.7109375" style="20"/>
    <col min="1759" max="1759" width="42" style="20" customWidth="1"/>
    <col min="1760" max="1760" width="6.42578125" style="20" customWidth="1"/>
    <col min="1761" max="1763" width="10.28515625" style="20" customWidth="1"/>
    <col min="1764" max="1764" width="0" style="20" hidden="1" customWidth="1"/>
    <col min="1765" max="1765" width="10.28515625" style="20" customWidth="1"/>
    <col min="1766" max="2014" width="8.7109375" style="20"/>
    <col min="2015" max="2015" width="42" style="20" customWidth="1"/>
    <col min="2016" max="2016" width="6.42578125" style="20" customWidth="1"/>
    <col min="2017" max="2019" width="10.28515625" style="20" customWidth="1"/>
    <col min="2020" max="2020" width="0" style="20" hidden="1" customWidth="1"/>
    <col min="2021" max="2021" width="10.28515625" style="20" customWidth="1"/>
    <col min="2022" max="2270" width="8.7109375" style="20"/>
    <col min="2271" max="2271" width="42" style="20" customWidth="1"/>
    <col min="2272" max="2272" width="6.42578125" style="20" customWidth="1"/>
    <col min="2273" max="2275" width="10.28515625" style="20" customWidth="1"/>
    <col min="2276" max="2276" width="0" style="20" hidden="1" customWidth="1"/>
    <col min="2277" max="2277" width="10.28515625" style="20" customWidth="1"/>
    <col min="2278" max="2526" width="8.7109375" style="20"/>
    <col min="2527" max="2527" width="42" style="20" customWidth="1"/>
    <col min="2528" max="2528" width="6.42578125" style="20" customWidth="1"/>
    <col min="2529" max="2531" width="10.28515625" style="20" customWidth="1"/>
    <col min="2532" max="2532" width="0" style="20" hidden="1" customWidth="1"/>
    <col min="2533" max="2533" width="10.28515625" style="20" customWidth="1"/>
    <col min="2534" max="2782" width="8.7109375" style="20"/>
    <col min="2783" max="2783" width="42" style="20" customWidth="1"/>
    <col min="2784" max="2784" width="6.42578125" style="20" customWidth="1"/>
    <col min="2785" max="2787" width="10.28515625" style="20" customWidth="1"/>
    <col min="2788" max="2788" width="0" style="20" hidden="1" customWidth="1"/>
    <col min="2789" max="2789" width="10.28515625" style="20" customWidth="1"/>
    <col min="2790" max="3038" width="8.7109375" style="20"/>
    <col min="3039" max="3039" width="42" style="20" customWidth="1"/>
    <col min="3040" max="3040" width="6.42578125" style="20" customWidth="1"/>
    <col min="3041" max="3043" width="10.28515625" style="20" customWidth="1"/>
    <col min="3044" max="3044" width="0" style="20" hidden="1" customWidth="1"/>
    <col min="3045" max="3045" width="10.28515625" style="20" customWidth="1"/>
    <col min="3046" max="3294" width="8.7109375" style="20"/>
    <col min="3295" max="3295" width="42" style="20" customWidth="1"/>
    <col min="3296" max="3296" width="6.42578125" style="20" customWidth="1"/>
    <col min="3297" max="3299" width="10.28515625" style="20" customWidth="1"/>
    <col min="3300" max="3300" width="0" style="20" hidden="1" customWidth="1"/>
    <col min="3301" max="3301" width="10.28515625" style="20" customWidth="1"/>
    <col min="3302" max="3550" width="8.7109375" style="20"/>
    <col min="3551" max="3551" width="42" style="20" customWidth="1"/>
    <col min="3552" max="3552" width="6.42578125" style="20" customWidth="1"/>
    <col min="3553" max="3555" width="10.28515625" style="20" customWidth="1"/>
    <col min="3556" max="3556" width="0" style="20" hidden="1" customWidth="1"/>
    <col min="3557" max="3557" width="10.28515625" style="20" customWidth="1"/>
    <col min="3558" max="3806" width="8.7109375" style="20"/>
    <col min="3807" max="3807" width="42" style="20" customWidth="1"/>
    <col min="3808" max="3808" width="6.42578125" style="20" customWidth="1"/>
    <col min="3809" max="3811" width="10.28515625" style="20" customWidth="1"/>
    <col min="3812" max="3812" width="0" style="20" hidden="1" customWidth="1"/>
    <col min="3813" max="3813" width="10.28515625" style="20" customWidth="1"/>
    <col min="3814" max="4062" width="8.7109375" style="20"/>
    <col min="4063" max="4063" width="42" style="20" customWidth="1"/>
    <col min="4064" max="4064" width="6.42578125" style="20" customWidth="1"/>
    <col min="4065" max="4067" width="10.28515625" style="20" customWidth="1"/>
    <col min="4068" max="4068" width="0" style="20" hidden="1" customWidth="1"/>
    <col min="4069" max="4069" width="10.28515625" style="20" customWidth="1"/>
    <col min="4070" max="4318" width="8.7109375" style="20"/>
    <col min="4319" max="4319" width="42" style="20" customWidth="1"/>
    <col min="4320" max="4320" width="6.42578125" style="20" customWidth="1"/>
    <col min="4321" max="4323" width="10.28515625" style="20" customWidth="1"/>
    <col min="4324" max="4324" width="0" style="20" hidden="1" customWidth="1"/>
    <col min="4325" max="4325" width="10.28515625" style="20" customWidth="1"/>
    <col min="4326" max="4574" width="8.7109375" style="20"/>
    <col min="4575" max="4575" width="42" style="20" customWidth="1"/>
    <col min="4576" max="4576" width="6.42578125" style="20" customWidth="1"/>
    <col min="4577" max="4579" width="10.28515625" style="20" customWidth="1"/>
    <col min="4580" max="4580" width="0" style="20" hidden="1" customWidth="1"/>
    <col min="4581" max="4581" width="10.28515625" style="20" customWidth="1"/>
    <col min="4582" max="4830" width="8.7109375" style="20"/>
    <col min="4831" max="4831" width="42" style="20" customWidth="1"/>
    <col min="4832" max="4832" width="6.42578125" style="20" customWidth="1"/>
    <col min="4833" max="4835" width="10.28515625" style="20" customWidth="1"/>
    <col min="4836" max="4836" width="0" style="20" hidden="1" customWidth="1"/>
    <col min="4837" max="4837" width="10.28515625" style="20" customWidth="1"/>
    <col min="4838" max="5086" width="8.7109375" style="20"/>
    <col min="5087" max="5087" width="42" style="20" customWidth="1"/>
    <col min="5088" max="5088" width="6.42578125" style="20" customWidth="1"/>
    <col min="5089" max="5091" width="10.28515625" style="20" customWidth="1"/>
    <col min="5092" max="5092" width="0" style="20" hidden="1" customWidth="1"/>
    <col min="5093" max="5093" width="10.28515625" style="20" customWidth="1"/>
    <col min="5094" max="5342" width="8.7109375" style="20"/>
    <col min="5343" max="5343" width="42" style="20" customWidth="1"/>
    <col min="5344" max="5344" width="6.42578125" style="20" customWidth="1"/>
    <col min="5345" max="5347" width="10.28515625" style="20" customWidth="1"/>
    <col min="5348" max="5348" width="0" style="20" hidden="1" customWidth="1"/>
    <col min="5349" max="5349" width="10.28515625" style="20" customWidth="1"/>
    <col min="5350" max="5598" width="8.7109375" style="20"/>
    <col min="5599" max="5599" width="42" style="20" customWidth="1"/>
    <col min="5600" max="5600" width="6.42578125" style="20" customWidth="1"/>
    <col min="5601" max="5603" width="10.28515625" style="20" customWidth="1"/>
    <col min="5604" max="5604" width="0" style="20" hidden="1" customWidth="1"/>
    <col min="5605" max="5605" width="10.28515625" style="20" customWidth="1"/>
    <col min="5606" max="5854" width="8.7109375" style="20"/>
    <col min="5855" max="5855" width="42" style="20" customWidth="1"/>
    <col min="5856" max="5856" width="6.42578125" style="20" customWidth="1"/>
    <col min="5857" max="5859" width="10.28515625" style="20" customWidth="1"/>
    <col min="5860" max="5860" width="0" style="20" hidden="1" customWidth="1"/>
    <col min="5861" max="5861" width="10.28515625" style="20" customWidth="1"/>
    <col min="5862" max="6110" width="8.7109375" style="20"/>
    <col min="6111" max="6111" width="42" style="20" customWidth="1"/>
    <col min="6112" max="6112" width="6.42578125" style="20" customWidth="1"/>
    <col min="6113" max="6115" width="10.28515625" style="20" customWidth="1"/>
    <col min="6116" max="6116" width="0" style="20" hidden="1" customWidth="1"/>
    <col min="6117" max="6117" width="10.28515625" style="20" customWidth="1"/>
    <col min="6118" max="6366" width="8.7109375" style="20"/>
    <col min="6367" max="6367" width="42" style="20" customWidth="1"/>
    <col min="6368" max="6368" width="6.42578125" style="20" customWidth="1"/>
    <col min="6369" max="6371" width="10.28515625" style="20" customWidth="1"/>
    <col min="6372" max="6372" width="0" style="20" hidden="1" customWidth="1"/>
    <col min="6373" max="6373" width="10.28515625" style="20" customWidth="1"/>
    <col min="6374" max="6622" width="8.7109375" style="20"/>
    <col min="6623" max="6623" width="42" style="20" customWidth="1"/>
    <col min="6624" max="6624" width="6.42578125" style="20" customWidth="1"/>
    <col min="6625" max="6627" width="10.28515625" style="20" customWidth="1"/>
    <col min="6628" max="6628" width="0" style="20" hidden="1" customWidth="1"/>
    <col min="6629" max="6629" width="10.28515625" style="20" customWidth="1"/>
    <col min="6630" max="6878" width="8.7109375" style="20"/>
    <col min="6879" max="6879" width="42" style="20" customWidth="1"/>
    <col min="6880" max="6880" width="6.42578125" style="20" customWidth="1"/>
    <col min="6881" max="6883" width="10.28515625" style="20" customWidth="1"/>
    <col min="6884" max="6884" width="0" style="20" hidden="1" customWidth="1"/>
    <col min="6885" max="6885" width="10.28515625" style="20" customWidth="1"/>
    <col min="6886" max="7134" width="8.7109375" style="20"/>
    <col min="7135" max="7135" width="42" style="20" customWidth="1"/>
    <col min="7136" max="7136" width="6.42578125" style="20" customWidth="1"/>
    <col min="7137" max="7139" width="10.28515625" style="20" customWidth="1"/>
    <col min="7140" max="7140" width="0" style="20" hidden="1" customWidth="1"/>
    <col min="7141" max="7141" width="10.28515625" style="20" customWidth="1"/>
    <col min="7142" max="7390" width="8.7109375" style="20"/>
    <col min="7391" max="7391" width="42" style="20" customWidth="1"/>
    <col min="7392" max="7392" width="6.42578125" style="20" customWidth="1"/>
    <col min="7393" max="7395" width="10.28515625" style="20" customWidth="1"/>
    <col min="7396" max="7396" width="0" style="20" hidden="1" customWidth="1"/>
    <col min="7397" max="7397" width="10.28515625" style="20" customWidth="1"/>
    <col min="7398" max="7646" width="8.7109375" style="20"/>
    <col min="7647" max="7647" width="42" style="20" customWidth="1"/>
    <col min="7648" max="7648" width="6.42578125" style="20" customWidth="1"/>
    <col min="7649" max="7651" width="10.28515625" style="20" customWidth="1"/>
    <col min="7652" max="7652" width="0" style="20" hidden="1" customWidth="1"/>
    <col min="7653" max="7653" width="10.28515625" style="20" customWidth="1"/>
    <col min="7654" max="7902" width="8.7109375" style="20"/>
    <col min="7903" max="7903" width="42" style="20" customWidth="1"/>
    <col min="7904" max="7904" width="6.42578125" style="20" customWidth="1"/>
    <col min="7905" max="7907" width="10.28515625" style="20" customWidth="1"/>
    <col min="7908" max="7908" width="0" style="20" hidden="1" customWidth="1"/>
    <col min="7909" max="7909" width="10.28515625" style="20" customWidth="1"/>
    <col min="7910" max="8158" width="8.7109375" style="20"/>
    <col min="8159" max="8159" width="42" style="20" customWidth="1"/>
    <col min="8160" max="8160" width="6.42578125" style="20" customWidth="1"/>
    <col min="8161" max="8163" width="10.28515625" style="20" customWidth="1"/>
    <col min="8164" max="8164" width="0" style="20" hidden="1" customWidth="1"/>
    <col min="8165" max="8165" width="10.28515625" style="20" customWidth="1"/>
    <col min="8166" max="8414" width="8.7109375" style="20"/>
    <col min="8415" max="8415" width="42" style="20" customWidth="1"/>
    <col min="8416" max="8416" width="6.42578125" style="20" customWidth="1"/>
    <col min="8417" max="8419" width="10.28515625" style="20" customWidth="1"/>
    <col min="8420" max="8420" width="0" style="20" hidden="1" customWidth="1"/>
    <col min="8421" max="8421" width="10.28515625" style="20" customWidth="1"/>
    <col min="8422" max="8670" width="8.7109375" style="20"/>
    <col min="8671" max="8671" width="42" style="20" customWidth="1"/>
    <col min="8672" max="8672" width="6.42578125" style="20" customWidth="1"/>
    <col min="8673" max="8675" width="10.28515625" style="20" customWidth="1"/>
    <col min="8676" max="8676" width="0" style="20" hidden="1" customWidth="1"/>
    <col min="8677" max="8677" width="10.28515625" style="20" customWidth="1"/>
    <col min="8678" max="8926" width="8.7109375" style="20"/>
    <col min="8927" max="8927" width="42" style="20" customWidth="1"/>
    <col min="8928" max="8928" width="6.42578125" style="20" customWidth="1"/>
    <col min="8929" max="8931" width="10.28515625" style="20" customWidth="1"/>
    <col min="8932" max="8932" width="0" style="20" hidden="1" customWidth="1"/>
    <col min="8933" max="8933" width="10.28515625" style="20" customWidth="1"/>
    <col min="8934" max="9182" width="8.7109375" style="20"/>
    <col min="9183" max="9183" width="42" style="20" customWidth="1"/>
    <col min="9184" max="9184" width="6.42578125" style="20" customWidth="1"/>
    <col min="9185" max="9187" width="10.28515625" style="20" customWidth="1"/>
    <col min="9188" max="9188" width="0" style="20" hidden="1" customWidth="1"/>
    <col min="9189" max="9189" width="10.28515625" style="20" customWidth="1"/>
    <col min="9190" max="9438" width="8.7109375" style="20"/>
    <col min="9439" max="9439" width="42" style="20" customWidth="1"/>
    <col min="9440" max="9440" width="6.42578125" style="20" customWidth="1"/>
    <col min="9441" max="9443" width="10.28515625" style="20" customWidth="1"/>
    <col min="9444" max="9444" width="0" style="20" hidden="1" customWidth="1"/>
    <col min="9445" max="9445" width="10.28515625" style="20" customWidth="1"/>
    <col min="9446" max="9694" width="8.7109375" style="20"/>
    <col min="9695" max="9695" width="42" style="20" customWidth="1"/>
    <col min="9696" max="9696" width="6.42578125" style="20" customWidth="1"/>
    <col min="9697" max="9699" width="10.28515625" style="20" customWidth="1"/>
    <col min="9700" max="9700" width="0" style="20" hidden="1" customWidth="1"/>
    <col min="9701" max="9701" width="10.28515625" style="20" customWidth="1"/>
    <col min="9702" max="9950" width="8.7109375" style="20"/>
    <col min="9951" max="9951" width="42" style="20" customWidth="1"/>
    <col min="9952" max="9952" width="6.42578125" style="20" customWidth="1"/>
    <col min="9953" max="9955" width="10.28515625" style="20" customWidth="1"/>
    <col min="9956" max="9956" width="0" style="20" hidden="1" customWidth="1"/>
    <col min="9957" max="9957" width="10.28515625" style="20" customWidth="1"/>
    <col min="9958" max="10206" width="8.7109375" style="20"/>
    <col min="10207" max="10207" width="42" style="20" customWidth="1"/>
    <col min="10208" max="10208" width="6.42578125" style="20" customWidth="1"/>
    <col min="10209" max="10211" width="10.28515625" style="20" customWidth="1"/>
    <col min="10212" max="10212" width="0" style="20" hidden="1" customWidth="1"/>
    <col min="10213" max="10213" width="10.28515625" style="20" customWidth="1"/>
    <col min="10214" max="10462" width="8.7109375" style="20"/>
    <col min="10463" max="10463" width="42" style="20" customWidth="1"/>
    <col min="10464" max="10464" width="6.42578125" style="20" customWidth="1"/>
    <col min="10465" max="10467" width="10.28515625" style="20" customWidth="1"/>
    <col min="10468" max="10468" width="0" style="20" hidden="1" customWidth="1"/>
    <col min="10469" max="10469" width="10.28515625" style="20" customWidth="1"/>
    <col min="10470" max="10718" width="8.7109375" style="20"/>
    <col min="10719" max="10719" width="42" style="20" customWidth="1"/>
    <col min="10720" max="10720" width="6.42578125" style="20" customWidth="1"/>
    <col min="10721" max="10723" width="10.28515625" style="20" customWidth="1"/>
    <col min="10724" max="10724" width="0" style="20" hidden="1" customWidth="1"/>
    <col min="10725" max="10725" width="10.28515625" style="20" customWidth="1"/>
    <col min="10726" max="10974" width="8.7109375" style="20"/>
    <col min="10975" max="10975" width="42" style="20" customWidth="1"/>
    <col min="10976" max="10976" width="6.42578125" style="20" customWidth="1"/>
    <col min="10977" max="10979" width="10.28515625" style="20" customWidth="1"/>
    <col min="10980" max="10980" width="0" style="20" hidden="1" customWidth="1"/>
    <col min="10981" max="10981" width="10.28515625" style="20" customWidth="1"/>
    <col min="10982" max="11230" width="8.7109375" style="20"/>
    <col min="11231" max="11231" width="42" style="20" customWidth="1"/>
    <col min="11232" max="11232" width="6.42578125" style="20" customWidth="1"/>
    <col min="11233" max="11235" width="10.28515625" style="20" customWidth="1"/>
    <col min="11236" max="11236" width="0" style="20" hidden="1" customWidth="1"/>
    <col min="11237" max="11237" width="10.28515625" style="20" customWidth="1"/>
    <col min="11238" max="11486" width="8.7109375" style="20"/>
    <col min="11487" max="11487" width="42" style="20" customWidth="1"/>
    <col min="11488" max="11488" width="6.42578125" style="20" customWidth="1"/>
    <col min="11489" max="11491" width="10.28515625" style="20" customWidth="1"/>
    <col min="11492" max="11492" width="0" style="20" hidden="1" customWidth="1"/>
    <col min="11493" max="11493" width="10.28515625" style="20" customWidth="1"/>
    <col min="11494" max="11742" width="8.7109375" style="20"/>
    <col min="11743" max="11743" width="42" style="20" customWidth="1"/>
    <col min="11744" max="11744" width="6.42578125" style="20" customWidth="1"/>
    <col min="11745" max="11747" width="10.28515625" style="20" customWidth="1"/>
    <col min="11748" max="11748" width="0" style="20" hidden="1" customWidth="1"/>
    <col min="11749" max="11749" width="10.28515625" style="20" customWidth="1"/>
    <col min="11750" max="11998" width="8.7109375" style="20"/>
    <col min="11999" max="11999" width="42" style="20" customWidth="1"/>
    <col min="12000" max="12000" width="6.42578125" style="20" customWidth="1"/>
    <col min="12001" max="12003" width="10.28515625" style="20" customWidth="1"/>
    <col min="12004" max="12004" width="0" style="20" hidden="1" customWidth="1"/>
    <col min="12005" max="12005" width="10.28515625" style="20" customWidth="1"/>
    <col min="12006" max="12254" width="8.7109375" style="20"/>
    <col min="12255" max="12255" width="42" style="20" customWidth="1"/>
    <col min="12256" max="12256" width="6.42578125" style="20" customWidth="1"/>
    <col min="12257" max="12259" width="10.28515625" style="20" customWidth="1"/>
    <col min="12260" max="12260" width="0" style="20" hidden="1" customWidth="1"/>
    <col min="12261" max="12261" width="10.28515625" style="20" customWidth="1"/>
    <col min="12262" max="12510" width="8.7109375" style="20"/>
    <col min="12511" max="12511" width="42" style="20" customWidth="1"/>
    <col min="12512" max="12512" width="6.42578125" style="20" customWidth="1"/>
    <col min="12513" max="12515" width="10.28515625" style="20" customWidth="1"/>
    <col min="12516" max="12516" width="0" style="20" hidden="1" customWidth="1"/>
    <col min="12517" max="12517" width="10.28515625" style="20" customWidth="1"/>
    <col min="12518" max="12766" width="8.7109375" style="20"/>
    <col min="12767" max="12767" width="42" style="20" customWidth="1"/>
    <col min="12768" max="12768" width="6.42578125" style="20" customWidth="1"/>
    <col min="12769" max="12771" width="10.28515625" style="20" customWidth="1"/>
    <col min="12772" max="12772" width="0" style="20" hidden="1" customWidth="1"/>
    <col min="12773" max="12773" width="10.28515625" style="20" customWidth="1"/>
    <col min="12774" max="13022" width="8.7109375" style="20"/>
    <col min="13023" max="13023" width="42" style="20" customWidth="1"/>
    <col min="13024" max="13024" width="6.42578125" style="20" customWidth="1"/>
    <col min="13025" max="13027" width="10.28515625" style="20" customWidth="1"/>
    <col min="13028" max="13028" width="0" style="20" hidden="1" customWidth="1"/>
    <col min="13029" max="13029" width="10.28515625" style="20" customWidth="1"/>
    <col min="13030" max="13278" width="8.7109375" style="20"/>
    <col min="13279" max="13279" width="42" style="20" customWidth="1"/>
    <col min="13280" max="13280" width="6.42578125" style="20" customWidth="1"/>
    <col min="13281" max="13283" width="10.28515625" style="20" customWidth="1"/>
    <col min="13284" max="13284" width="0" style="20" hidden="1" customWidth="1"/>
    <col min="13285" max="13285" width="10.28515625" style="20" customWidth="1"/>
    <col min="13286" max="13534" width="8.7109375" style="20"/>
    <col min="13535" max="13535" width="42" style="20" customWidth="1"/>
    <col min="13536" max="13536" width="6.42578125" style="20" customWidth="1"/>
    <col min="13537" max="13539" width="10.28515625" style="20" customWidth="1"/>
    <col min="13540" max="13540" width="0" style="20" hidden="1" customWidth="1"/>
    <col min="13541" max="13541" width="10.28515625" style="20" customWidth="1"/>
    <col min="13542" max="13790" width="8.7109375" style="20"/>
    <col min="13791" max="13791" width="42" style="20" customWidth="1"/>
    <col min="13792" max="13792" width="6.42578125" style="20" customWidth="1"/>
    <col min="13793" max="13795" width="10.28515625" style="20" customWidth="1"/>
    <col min="13796" max="13796" width="0" style="20" hidden="1" customWidth="1"/>
    <col min="13797" max="13797" width="10.28515625" style="20" customWidth="1"/>
    <col min="13798" max="14046" width="8.7109375" style="20"/>
    <col min="14047" max="14047" width="42" style="20" customWidth="1"/>
    <col min="14048" max="14048" width="6.42578125" style="20" customWidth="1"/>
    <col min="14049" max="14051" width="10.28515625" style="20" customWidth="1"/>
    <col min="14052" max="14052" width="0" style="20" hidden="1" customWidth="1"/>
    <col min="14053" max="14053" width="10.28515625" style="20" customWidth="1"/>
    <col min="14054" max="14302" width="8.7109375" style="20"/>
    <col min="14303" max="14303" width="42" style="20" customWidth="1"/>
    <col min="14304" max="14304" width="6.42578125" style="20" customWidth="1"/>
    <col min="14305" max="14307" width="10.28515625" style="20" customWidth="1"/>
    <col min="14308" max="14308" width="0" style="20" hidden="1" customWidth="1"/>
    <col min="14309" max="14309" width="10.28515625" style="20" customWidth="1"/>
    <col min="14310" max="14558" width="8.7109375" style="20"/>
    <col min="14559" max="14559" width="42" style="20" customWidth="1"/>
    <col min="14560" max="14560" width="6.42578125" style="20" customWidth="1"/>
    <col min="14561" max="14563" width="10.28515625" style="20" customWidth="1"/>
    <col min="14564" max="14564" width="0" style="20" hidden="1" customWidth="1"/>
    <col min="14565" max="14565" width="10.28515625" style="20" customWidth="1"/>
    <col min="14566" max="14814" width="8.7109375" style="20"/>
    <col min="14815" max="14815" width="42" style="20" customWidth="1"/>
    <col min="14816" max="14816" width="6.42578125" style="20" customWidth="1"/>
    <col min="14817" max="14819" width="10.28515625" style="20" customWidth="1"/>
    <col min="14820" max="14820" width="0" style="20" hidden="1" customWidth="1"/>
    <col min="14821" max="14821" width="10.28515625" style="20" customWidth="1"/>
    <col min="14822" max="15070" width="8.7109375" style="20"/>
    <col min="15071" max="15071" width="42" style="20" customWidth="1"/>
    <col min="15072" max="15072" width="6.42578125" style="20" customWidth="1"/>
    <col min="15073" max="15075" width="10.28515625" style="20" customWidth="1"/>
    <col min="15076" max="15076" width="0" style="20" hidden="1" customWidth="1"/>
    <col min="15077" max="15077" width="10.28515625" style="20" customWidth="1"/>
    <col min="15078" max="15326" width="8.7109375" style="20"/>
    <col min="15327" max="15327" width="42" style="20" customWidth="1"/>
    <col min="15328" max="15328" width="6.42578125" style="20" customWidth="1"/>
    <col min="15329" max="15331" width="10.28515625" style="20" customWidth="1"/>
    <col min="15332" max="15332" width="0" style="20" hidden="1" customWidth="1"/>
    <col min="15333" max="15333" width="10.28515625" style="20" customWidth="1"/>
    <col min="15334" max="15582" width="8.7109375" style="20"/>
    <col min="15583" max="15583" width="42" style="20" customWidth="1"/>
    <col min="15584" max="15584" width="6.42578125" style="20" customWidth="1"/>
    <col min="15585" max="15587" width="10.28515625" style="20" customWidth="1"/>
    <col min="15588" max="15588" width="0" style="20" hidden="1" customWidth="1"/>
    <col min="15589" max="15589" width="10.28515625" style="20" customWidth="1"/>
    <col min="15590" max="15838" width="8.7109375" style="20"/>
    <col min="15839" max="15839" width="42" style="20" customWidth="1"/>
    <col min="15840" max="15840" width="6.42578125" style="20" customWidth="1"/>
    <col min="15841" max="15843" width="10.28515625" style="20" customWidth="1"/>
    <col min="15844" max="15844" width="0" style="20" hidden="1" customWidth="1"/>
    <col min="15845" max="15845" width="10.28515625" style="20" customWidth="1"/>
    <col min="15846" max="16094" width="8.7109375" style="20"/>
    <col min="16095" max="16095" width="42" style="20" customWidth="1"/>
    <col min="16096" max="16096" width="6.42578125" style="20" customWidth="1"/>
    <col min="16097" max="16099" width="10.28515625" style="20" customWidth="1"/>
    <col min="16100" max="16100" width="0" style="20" hidden="1" customWidth="1"/>
    <col min="16101" max="16101" width="10.28515625" style="20" customWidth="1"/>
    <col min="16102" max="16384" width="8.7109375" style="20"/>
  </cols>
  <sheetData>
    <row r="1" spans="1:21" ht="13.9" customHeight="1">
      <c r="A1" s="18"/>
    </row>
    <row r="2" spans="1:21" ht="13.9" customHeight="1">
      <c r="A2" s="91" t="s">
        <v>43</v>
      </c>
      <c r="B2" s="92" t="s">
        <v>0</v>
      </c>
      <c r="C2" s="92" t="s">
        <v>1</v>
      </c>
      <c r="D2" s="92" t="s">
        <v>3</v>
      </c>
      <c r="E2" s="92" t="s">
        <v>4</v>
      </c>
      <c r="F2" s="92" t="s">
        <v>5</v>
      </c>
      <c r="G2" s="92" t="s">
        <v>6</v>
      </c>
      <c r="H2" s="92" t="s">
        <v>8</v>
      </c>
      <c r="I2" s="92" t="s">
        <v>9</v>
      </c>
      <c r="J2" s="92" t="s">
        <v>10</v>
      </c>
      <c r="K2" s="92" t="s">
        <v>11</v>
      </c>
      <c r="L2" s="92" t="s">
        <v>13</v>
      </c>
      <c r="M2" s="92" t="s">
        <v>14</v>
      </c>
      <c r="N2" s="92" t="s">
        <v>15</v>
      </c>
      <c r="O2" s="92" t="s">
        <v>16</v>
      </c>
      <c r="P2" s="92" t="s">
        <v>18</v>
      </c>
      <c r="Q2" s="92" t="s">
        <v>19</v>
      </c>
      <c r="R2" s="92" t="s">
        <v>20</v>
      </c>
      <c r="S2" s="92" t="s">
        <v>21</v>
      </c>
      <c r="T2" s="92" t="s">
        <v>23</v>
      </c>
    </row>
    <row r="3" spans="1:21" ht="13.9" customHeight="1">
      <c r="A3" s="43" t="s">
        <v>44</v>
      </c>
      <c r="B3" s="62">
        <v>0.3</v>
      </c>
      <c r="C3" s="62">
        <v>0.3</v>
      </c>
      <c r="D3" s="62">
        <v>0.3</v>
      </c>
      <c r="E3" s="62">
        <v>0.5</v>
      </c>
      <c r="F3" s="62">
        <v>0.5</v>
      </c>
      <c r="G3" s="62">
        <v>0.5</v>
      </c>
      <c r="H3" s="62">
        <v>0.4</v>
      </c>
      <c r="I3" s="62">
        <v>0.4</v>
      </c>
      <c r="J3" s="62">
        <v>0.4</v>
      </c>
      <c r="K3" s="62">
        <v>0.3</v>
      </c>
      <c r="L3" s="62">
        <v>0.8</v>
      </c>
      <c r="M3" s="62">
        <v>0.8</v>
      </c>
      <c r="N3" s="62">
        <v>0.8</v>
      </c>
      <c r="O3" s="62">
        <v>0.9</v>
      </c>
      <c r="P3" s="62">
        <v>0.9</v>
      </c>
      <c r="Q3" s="62">
        <v>0.9</v>
      </c>
      <c r="R3" s="62">
        <v>0.9</v>
      </c>
      <c r="S3" s="62">
        <v>3.4</v>
      </c>
      <c r="T3" s="41">
        <v>3.6</v>
      </c>
      <c r="U3" s="102"/>
    </row>
    <row r="4" spans="1:21" ht="13.9" customHeight="1">
      <c r="A4" s="43" t="s">
        <v>45</v>
      </c>
      <c r="B4" s="62">
        <v>171.4</v>
      </c>
      <c r="C4" s="62">
        <v>237.1</v>
      </c>
      <c r="D4" s="62">
        <v>262.60000000000002</v>
      </c>
      <c r="E4" s="62">
        <v>234.6</v>
      </c>
      <c r="F4" s="62">
        <v>225</v>
      </c>
      <c r="G4" s="62">
        <v>226.5</v>
      </c>
      <c r="H4" s="62">
        <v>218</v>
      </c>
      <c r="I4" s="62">
        <v>211.1</v>
      </c>
      <c r="J4" s="62">
        <v>205</v>
      </c>
      <c r="K4" s="62">
        <v>197.2</v>
      </c>
      <c r="L4" s="62">
        <v>183.7</v>
      </c>
      <c r="M4" s="62">
        <v>219.2</v>
      </c>
      <c r="N4" s="62">
        <v>212.8</v>
      </c>
      <c r="O4" s="62">
        <v>209.9</v>
      </c>
      <c r="P4" s="62">
        <v>204.9</v>
      </c>
      <c r="Q4" s="62">
        <v>200.8</v>
      </c>
      <c r="R4" s="62">
        <v>133.4</v>
      </c>
      <c r="S4" s="62">
        <v>108.9</v>
      </c>
      <c r="T4" s="41">
        <v>101.2</v>
      </c>
    </row>
    <row r="5" spans="1:21" ht="13.9" customHeight="1">
      <c r="A5" s="43" t="s">
        <v>46</v>
      </c>
      <c r="B5" s="62">
        <v>196</v>
      </c>
      <c r="C5" s="62">
        <f>216.5-0.3</f>
        <v>216.2</v>
      </c>
      <c r="D5" s="62">
        <v>249.2</v>
      </c>
      <c r="E5" s="62">
        <v>251.9</v>
      </c>
      <c r="F5" s="62">
        <v>237.3</v>
      </c>
      <c r="G5" s="62">
        <v>239</v>
      </c>
      <c r="H5" s="62">
        <v>238.4</v>
      </c>
      <c r="I5" s="62">
        <v>246.1</v>
      </c>
      <c r="J5" s="62">
        <v>255</v>
      </c>
      <c r="K5" s="62">
        <v>351</v>
      </c>
      <c r="L5" s="62">
        <f>387.4+12.4</f>
        <v>399.79999999999995</v>
      </c>
      <c r="M5" s="62">
        <f>424.9+12.5</f>
        <v>437.4</v>
      </c>
      <c r="N5" s="62">
        <f>468.1+12.3</f>
        <v>480.40000000000003</v>
      </c>
      <c r="O5" s="62">
        <f>531.8+10.4</f>
        <v>542.19999999999993</v>
      </c>
      <c r="P5" s="62">
        <v>588.70000000000005</v>
      </c>
      <c r="Q5" s="62">
        <v>636.4</v>
      </c>
      <c r="R5" s="62">
        <v>815</v>
      </c>
      <c r="S5" s="62">
        <v>1050.9000000000001</v>
      </c>
      <c r="T5" s="41">
        <v>1078.4000000000001</v>
      </c>
    </row>
    <row r="6" spans="1:21" ht="13.9" customHeight="1">
      <c r="A6" s="43" t="s">
        <v>47</v>
      </c>
      <c r="B6" s="62">
        <v>88.7</v>
      </c>
      <c r="C6" s="62">
        <v>96.7</v>
      </c>
      <c r="D6" s="62">
        <f>109-10.7</f>
        <v>98.3</v>
      </c>
      <c r="E6" s="62">
        <v>100.7</v>
      </c>
      <c r="F6" s="62">
        <v>107.1</v>
      </c>
      <c r="G6" s="62">
        <v>110.2</v>
      </c>
      <c r="H6" s="62">
        <v>115.2</v>
      </c>
      <c r="I6" s="62">
        <v>134.4</v>
      </c>
      <c r="J6" s="62">
        <v>178</v>
      </c>
      <c r="K6" s="62">
        <v>175.2</v>
      </c>
      <c r="L6" s="62">
        <v>179.1</v>
      </c>
      <c r="M6" s="62">
        <v>191.6</v>
      </c>
      <c r="N6" s="62">
        <v>198.4</v>
      </c>
      <c r="O6" s="62">
        <v>212.5</v>
      </c>
      <c r="P6" s="62">
        <v>236.9</v>
      </c>
      <c r="Q6" s="62">
        <v>253.2</v>
      </c>
      <c r="R6" s="62">
        <v>284</v>
      </c>
      <c r="S6" s="62">
        <v>255.3</v>
      </c>
      <c r="T6" s="41">
        <v>263.10000000000002</v>
      </c>
    </row>
    <row r="7" spans="1:21" ht="13.9" customHeight="1">
      <c r="A7" s="43" t="s">
        <v>48</v>
      </c>
      <c r="B7" s="62">
        <v>2.6</v>
      </c>
      <c r="C7" s="13">
        <v>0</v>
      </c>
      <c r="D7" s="13">
        <v>6.2</v>
      </c>
      <c r="E7" s="13">
        <v>6.8</v>
      </c>
      <c r="F7" s="13">
        <v>7.5</v>
      </c>
      <c r="G7" s="13">
        <v>3.3</v>
      </c>
      <c r="H7" s="13">
        <v>2.2999999999999998</v>
      </c>
      <c r="I7" s="13">
        <v>2.2999999999999998</v>
      </c>
      <c r="J7" s="13">
        <v>2</v>
      </c>
      <c r="K7" s="13">
        <v>1.6</v>
      </c>
      <c r="L7" s="13">
        <v>1.1000000000000001</v>
      </c>
      <c r="M7" s="13">
        <v>0.8</v>
      </c>
      <c r="N7" s="13">
        <v>0.6</v>
      </c>
      <c r="O7" s="13">
        <v>0.6</v>
      </c>
      <c r="P7" s="13">
        <v>0.6</v>
      </c>
      <c r="Q7" s="13">
        <v>0.6</v>
      </c>
      <c r="R7" s="13">
        <v>35.9</v>
      </c>
      <c r="S7" s="13">
        <f>41.7-7.6+0.1</f>
        <v>34.200000000000003</v>
      </c>
      <c r="T7" s="41">
        <v>34.200000000000003</v>
      </c>
    </row>
    <row r="8" spans="1:21" ht="13.9" customHeight="1">
      <c r="A8" s="43" t="s">
        <v>49</v>
      </c>
      <c r="B8" s="62"/>
      <c r="C8" s="13"/>
      <c r="D8" s="13"/>
      <c r="E8" s="13"/>
      <c r="F8" s="13"/>
      <c r="G8" s="13"/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7.6</v>
      </c>
      <c r="T8" s="41">
        <v>11.7</v>
      </c>
    </row>
    <row r="9" spans="1:21" ht="13.9" customHeight="1">
      <c r="A9" s="43" t="s">
        <v>50</v>
      </c>
      <c r="B9" s="62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2.9</v>
      </c>
      <c r="I9" s="13">
        <v>1.5</v>
      </c>
      <c r="J9" s="13">
        <v>2</v>
      </c>
      <c r="K9" s="13">
        <v>2.1</v>
      </c>
      <c r="L9" s="13">
        <v>5.0999999999999996</v>
      </c>
      <c r="M9" s="13">
        <v>7.3</v>
      </c>
      <c r="N9" s="13">
        <v>9.5</v>
      </c>
      <c r="O9" s="13">
        <v>9.1999999999999993</v>
      </c>
      <c r="P9" s="13">
        <v>9.3000000000000007</v>
      </c>
      <c r="Q9" s="13">
        <v>0.2</v>
      </c>
      <c r="R9" s="13">
        <v>1.1000000000000001</v>
      </c>
      <c r="S9" s="13">
        <v>0.1</v>
      </c>
      <c r="T9" s="41">
        <v>0.4</v>
      </c>
    </row>
    <row r="10" spans="1:21" ht="13.9" customHeight="1">
      <c r="A10" s="44" t="s">
        <v>51</v>
      </c>
      <c r="B10" s="63">
        <f>SUM(B3:B9)</f>
        <v>459.00000000000006</v>
      </c>
      <c r="C10" s="63">
        <f>SUM(C3:C9)</f>
        <v>550.30000000000007</v>
      </c>
      <c r="D10" s="63">
        <f>SUM(D3:D9)</f>
        <v>616.6</v>
      </c>
      <c r="E10" s="63">
        <v>594.5</v>
      </c>
      <c r="F10" s="63">
        <f t="shared" ref="F10:M10" si="0">SUM(F3:F9)</f>
        <v>577.4</v>
      </c>
      <c r="G10" s="63">
        <f t="shared" si="0"/>
        <v>579.5</v>
      </c>
      <c r="H10" s="63">
        <f t="shared" si="0"/>
        <v>577.19999999999993</v>
      </c>
      <c r="I10" s="63">
        <f t="shared" si="0"/>
        <v>595.79999999999995</v>
      </c>
      <c r="J10" s="63">
        <f t="shared" si="0"/>
        <v>642.4</v>
      </c>
      <c r="K10" s="63">
        <f t="shared" si="0"/>
        <v>727.40000000000009</v>
      </c>
      <c r="L10" s="63">
        <f t="shared" si="0"/>
        <v>769.6</v>
      </c>
      <c r="M10" s="63">
        <f t="shared" si="0"/>
        <v>857.09999999999991</v>
      </c>
      <c r="N10" s="63">
        <f>SUM(N3:N9)</f>
        <v>902.5</v>
      </c>
      <c r="O10" s="63">
        <f>SUM(O3:O9)</f>
        <v>975.30000000000007</v>
      </c>
      <c r="P10" s="63">
        <f>SUM(P3:P9)</f>
        <v>1041.3</v>
      </c>
      <c r="Q10" s="63">
        <v>1092.0999999999999</v>
      </c>
      <c r="R10" s="63">
        <v>1270.3</v>
      </c>
      <c r="S10" s="63">
        <f>SUM(S3:S9)</f>
        <v>1460.3999999999999</v>
      </c>
      <c r="T10" s="64">
        <f>SUM(T3:T9)</f>
        <v>1492.6000000000004</v>
      </c>
    </row>
    <row r="11" spans="1:21" ht="13.9" customHeight="1">
      <c r="A11" s="4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6"/>
    </row>
    <row r="12" spans="1:21" ht="13.9" customHeight="1">
      <c r="A12" s="43" t="s">
        <v>52</v>
      </c>
      <c r="B12" s="62">
        <v>11.5</v>
      </c>
      <c r="C12" s="62">
        <v>9.4</v>
      </c>
      <c r="D12" s="62">
        <v>9.6</v>
      </c>
      <c r="E12" s="62">
        <v>8.6</v>
      </c>
      <c r="F12" s="62">
        <v>18.3</v>
      </c>
      <c r="G12" s="62">
        <v>8.4</v>
      </c>
      <c r="H12" s="62">
        <v>14</v>
      </c>
      <c r="I12" s="62">
        <v>13.6</v>
      </c>
      <c r="J12" s="62">
        <v>27</v>
      </c>
      <c r="K12" s="62">
        <v>7.4</v>
      </c>
      <c r="L12" s="62">
        <v>5.7</v>
      </c>
      <c r="M12" s="62">
        <v>25.1</v>
      </c>
      <c r="N12" s="62">
        <v>35.5</v>
      </c>
      <c r="O12" s="62">
        <v>11.5</v>
      </c>
      <c r="P12" s="62">
        <v>7.2</v>
      </c>
      <c r="Q12" s="62">
        <v>8.1</v>
      </c>
      <c r="R12" s="62">
        <v>40.799999999999997</v>
      </c>
      <c r="S12" s="62">
        <v>33.5</v>
      </c>
      <c r="T12" s="67">
        <v>58</v>
      </c>
    </row>
    <row r="13" spans="1:21" ht="13.9" customHeight="1">
      <c r="A13" s="43" t="s">
        <v>53</v>
      </c>
      <c r="B13" s="62">
        <v>17.7</v>
      </c>
      <c r="C13" s="62">
        <v>97.1</v>
      </c>
      <c r="D13" s="62">
        <f>218.9-177.9</f>
        <v>41</v>
      </c>
      <c r="E13" s="62">
        <v>45.6</v>
      </c>
      <c r="F13" s="62">
        <v>16.3</v>
      </c>
      <c r="G13" s="62">
        <v>54.6</v>
      </c>
      <c r="H13" s="62">
        <v>59.5</v>
      </c>
      <c r="I13" s="62">
        <v>64.099999999999994</v>
      </c>
      <c r="J13" s="62">
        <v>38.6</v>
      </c>
      <c r="K13" s="62">
        <v>71.8</v>
      </c>
      <c r="L13" s="62">
        <v>145.30000000000001</v>
      </c>
      <c r="M13" s="62">
        <v>33.700000000000003</v>
      </c>
      <c r="N13" s="62">
        <v>30.1</v>
      </c>
      <c r="O13" s="62">
        <v>18.100000000000001</v>
      </c>
      <c r="P13" s="62">
        <v>34.4</v>
      </c>
      <c r="Q13" s="62">
        <v>34.9</v>
      </c>
      <c r="R13" s="62">
        <v>73.400000000000006</v>
      </c>
      <c r="S13" s="62">
        <v>51.7</v>
      </c>
      <c r="T13" s="67">
        <v>113.9</v>
      </c>
    </row>
    <row r="14" spans="1:21" ht="13.9" customHeight="1">
      <c r="A14" s="43" t="s">
        <v>50</v>
      </c>
      <c r="B14" s="62"/>
      <c r="C14" s="62"/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1.1000000000000001</v>
      </c>
      <c r="R14" s="62">
        <v>0</v>
      </c>
      <c r="S14" s="62">
        <v>0.6</v>
      </c>
      <c r="T14" s="67">
        <v>0</v>
      </c>
    </row>
    <row r="15" spans="1:21" ht="13.9" customHeight="1">
      <c r="A15" s="43" t="s">
        <v>54</v>
      </c>
      <c r="B15" s="62">
        <v>85.4</v>
      </c>
      <c r="C15" s="62">
        <v>81</v>
      </c>
      <c r="D15" s="62">
        <v>168.3</v>
      </c>
      <c r="E15" s="62">
        <v>127.6</v>
      </c>
      <c r="F15" s="62">
        <v>145.30000000000001</v>
      </c>
      <c r="G15" s="62">
        <v>120.6</v>
      </c>
      <c r="H15" s="62">
        <v>184.8</v>
      </c>
      <c r="I15" s="62">
        <v>216.5</v>
      </c>
      <c r="J15" s="62">
        <v>170.6</v>
      </c>
      <c r="K15" s="62">
        <v>150.9</v>
      </c>
      <c r="L15" s="62">
        <v>110.8</v>
      </c>
      <c r="M15" s="62">
        <v>123.3</v>
      </c>
      <c r="N15" s="62">
        <v>186.5</v>
      </c>
      <c r="O15" s="62">
        <v>210.8</v>
      </c>
      <c r="P15" s="62">
        <v>166.4</v>
      </c>
      <c r="Q15" s="62">
        <v>233.5</v>
      </c>
      <c r="R15" s="62">
        <v>197.7</v>
      </c>
      <c r="S15" s="62">
        <v>194.2</v>
      </c>
      <c r="T15" s="67">
        <v>150.1</v>
      </c>
    </row>
    <row r="16" spans="1:21" ht="13.9" hidden="1" customHeight="1">
      <c r="A16" s="43" t="s">
        <v>55</v>
      </c>
      <c r="B16" s="13">
        <v>25.5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41">
        <v>0</v>
      </c>
    </row>
    <row r="17" spans="1:20" ht="13.9" customHeight="1">
      <c r="A17" s="44" t="s">
        <v>56</v>
      </c>
      <c r="B17" s="63">
        <f>SUM(B12:B16)</f>
        <v>140.10000000000002</v>
      </c>
      <c r="C17" s="63">
        <f>SUM(C12:C16)</f>
        <v>187.5</v>
      </c>
      <c r="D17" s="63">
        <f>SUM(D12:D16)</f>
        <v>218.9</v>
      </c>
      <c r="E17" s="63">
        <v>181.8</v>
      </c>
      <c r="F17" s="63">
        <f t="shared" ref="F17:K17" si="1">SUM(F12:F16)</f>
        <v>179.9</v>
      </c>
      <c r="G17" s="63">
        <f t="shared" si="1"/>
        <v>183.6</v>
      </c>
      <c r="H17" s="63">
        <f t="shared" si="1"/>
        <v>258.3</v>
      </c>
      <c r="I17" s="63">
        <f t="shared" si="1"/>
        <v>294.2</v>
      </c>
      <c r="J17" s="63">
        <f t="shared" si="1"/>
        <v>236.2</v>
      </c>
      <c r="K17" s="63">
        <f t="shared" si="1"/>
        <v>230.10000000000002</v>
      </c>
      <c r="L17" s="63">
        <v>261.8</v>
      </c>
      <c r="M17" s="63">
        <v>182.1</v>
      </c>
      <c r="N17" s="63">
        <f>SUM(N12:N16)</f>
        <v>252.1</v>
      </c>
      <c r="O17" s="63">
        <f>SUM(O12:O16)</f>
        <v>240.4</v>
      </c>
      <c r="P17" s="63">
        <f>SUM(P12:P16)</f>
        <v>208</v>
      </c>
      <c r="Q17" s="63">
        <v>277.60000000000002</v>
      </c>
      <c r="R17" s="63">
        <v>311.89999999999998</v>
      </c>
      <c r="S17" s="63">
        <f>SUM(S12:S16)</f>
        <v>280</v>
      </c>
      <c r="T17" s="64">
        <f>SUM(T12:T16)</f>
        <v>322</v>
      </c>
    </row>
    <row r="18" spans="1:20" ht="13.9" customHeight="1">
      <c r="A18" s="46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9"/>
    </row>
    <row r="19" spans="1:20" ht="13.9" customHeight="1">
      <c r="A19" s="44" t="s">
        <v>57</v>
      </c>
      <c r="B19" s="63">
        <f>B17+B10</f>
        <v>599.10000000000014</v>
      </c>
      <c r="C19" s="63">
        <f>C17+C10</f>
        <v>737.80000000000007</v>
      </c>
      <c r="D19" s="63">
        <f>D17+D10</f>
        <v>835.5</v>
      </c>
      <c r="E19" s="63">
        <v>776.3</v>
      </c>
      <c r="F19" s="63">
        <f t="shared" ref="F19:M19" si="2">F17+F10</f>
        <v>757.3</v>
      </c>
      <c r="G19" s="63">
        <f t="shared" si="2"/>
        <v>763.1</v>
      </c>
      <c r="H19" s="63">
        <f t="shared" si="2"/>
        <v>835.5</v>
      </c>
      <c r="I19" s="63">
        <f t="shared" si="2"/>
        <v>890</v>
      </c>
      <c r="J19" s="63">
        <f t="shared" si="2"/>
        <v>878.59999999999991</v>
      </c>
      <c r="K19" s="63">
        <f t="shared" si="2"/>
        <v>957.50000000000011</v>
      </c>
      <c r="L19" s="63">
        <f t="shared" si="2"/>
        <v>1031.4000000000001</v>
      </c>
      <c r="M19" s="63">
        <f t="shared" si="2"/>
        <v>1039.1999999999998</v>
      </c>
      <c r="N19" s="63">
        <f>N17+N10</f>
        <v>1154.5999999999999</v>
      </c>
      <c r="O19" s="63">
        <f>O17+O10</f>
        <v>1215.7</v>
      </c>
      <c r="P19" s="63">
        <f>P17+P10</f>
        <v>1249.3</v>
      </c>
      <c r="Q19" s="63">
        <v>1369.6999999999998</v>
      </c>
      <c r="R19" s="63">
        <v>1582.1999999999998</v>
      </c>
      <c r="S19" s="63">
        <f>S17+S10</f>
        <v>1740.3999999999999</v>
      </c>
      <c r="T19" s="64">
        <f>T17+T10</f>
        <v>1814.6000000000004</v>
      </c>
    </row>
    <row r="20" spans="1:20" ht="13.9" customHeight="1">
      <c r="A20" s="43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</row>
    <row r="21" spans="1:20" ht="13.9" customHeight="1">
      <c r="A21" s="91" t="s">
        <v>58</v>
      </c>
      <c r="B21" s="92" t="str">
        <f>+B2</f>
        <v>Q3 2019</v>
      </c>
      <c r="C21" s="92" t="str">
        <f>+C2</f>
        <v>Q4 2019</v>
      </c>
      <c r="D21" s="92" t="str">
        <f>+D2</f>
        <v>Q1 2020</v>
      </c>
      <c r="E21" s="92" t="s">
        <v>4</v>
      </c>
      <c r="F21" s="92" t="str">
        <f t="shared" ref="F21:K21" si="3">+F2</f>
        <v>Q3 2020</v>
      </c>
      <c r="G21" s="92" t="str">
        <f t="shared" si="3"/>
        <v>Q4 2020</v>
      </c>
      <c r="H21" s="92" t="str">
        <f t="shared" si="3"/>
        <v>Q1 2021</v>
      </c>
      <c r="I21" s="92" t="str">
        <f t="shared" si="3"/>
        <v>Q2 2021</v>
      </c>
      <c r="J21" s="92" t="str">
        <f t="shared" si="3"/>
        <v>Q3 2021</v>
      </c>
      <c r="K21" s="92" t="str">
        <f t="shared" si="3"/>
        <v>Q4 2021</v>
      </c>
      <c r="L21" s="92" t="s">
        <v>13</v>
      </c>
      <c r="M21" s="92" t="s">
        <v>14</v>
      </c>
      <c r="N21" s="92" t="str">
        <f>+N2</f>
        <v>Q3 2022</v>
      </c>
      <c r="O21" s="92" t="str">
        <f>+O2</f>
        <v>Q4 2022</v>
      </c>
      <c r="P21" s="92" t="str">
        <f>+P2</f>
        <v>Q1 2023</v>
      </c>
      <c r="Q21" s="92" t="s">
        <v>19</v>
      </c>
      <c r="R21" s="92" t="s">
        <v>20</v>
      </c>
      <c r="S21" s="92" t="str">
        <f>+S2</f>
        <v>Q4 2023</v>
      </c>
      <c r="T21" s="92" t="str">
        <f>+T2</f>
        <v>Q1 2024</v>
      </c>
    </row>
    <row r="22" spans="1:20" ht="13.9" customHeight="1">
      <c r="A22" s="43" t="s">
        <v>59</v>
      </c>
      <c r="B22" s="62">
        <v>182.7</v>
      </c>
      <c r="C22" s="62">
        <v>363.1</v>
      </c>
      <c r="D22" s="62">
        <f>471.6-10.7</f>
        <v>460.90000000000003</v>
      </c>
      <c r="E22" s="62">
        <v>455.3</v>
      </c>
      <c r="F22" s="62">
        <v>448.4</v>
      </c>
      <c r="G22" s="62">
        <v>443.2</v>
      </c>
      <c r="H22" s="62">
        <v>524.79999999999995</v>
      </c>
      <c r="I22" s="62">
        <v>540.29999999999995</v>
      </c>
      <c r="J22" s="62">
        <v>530.20000000000005</v>
      </c>
      <c r="K22" s="62">
        <v>569.20000000000005</v>
      </c>
      <c r="L22" s="62">
        <v>605.1</v>
      </c>
      <c r="M22" s="62">
        <v>588.9</v>
      </c>
      <c r="N22" s="62">
        <v>623</v>
      </c>
      <c r="O22" s="62">
        <v>615.29999999999995</v>
      </c>
      <c r="P22" s="62">
        <v>610.6</v>
      </c>
      <c r="Q22" s="62">
        <v>616.20000000000005</v>
      </c>
      <c r="R22" s="62">
        <v>617.1</v>
      </c>
      <c r="S22" s="62">
        <v>697.6</v>
      </c>
      <c r="T22" s="67">
        <v>744.9</v>
      </c>
    </row>
    <row r="23" spans="1:20" ht="13.9" customHeight="1">
      <c r="A23" s="43" t="s">
        <v>60</v>
      </c>
      <c r="B23" s="62">
        <v>94.2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41">
        <v>0</v>
      </c>
    </row>
    <row r="24" spans="1:20" ht="13.9" customHeight="1">
      <c r="A24" s="44" t="s">
        <v>61</v>
      </c>
      <c r="B24" s="63">
        <f t="shared" ref="B24:D24" si="4">SUM(B22:B23)</f>
        <v>276.89999999999998</v>
      </c>
      <c r="C24" s="63">
        <f t="shared" si="4"/>
        <v>363.1</v>
      </c>
      <c r="D24" s="63">
        <f t="shared" si="4"/>
        <v>460.90000000000003</v>
      </c>
      <c r="E24" s="63">
        <v>455.3</v>
      </c>
      <c r="F24" s="63">
        <f t="shared" ref="F24" si="5">SUM(F22:F23)</f>
        <v>448.4</v>
      </c>
      <c r="G24" s="63">
        <f t="shared" ref="G24:H24" si="6">SUM(G22:G23)</f>
        <v>443.2</v>
      </c>
      <c r="H24" s="63">
        <f t="shared" si="6"/>
        <v>524.79999999999995</v>
      </c>
      <c r="I24" s="63">
        <f t="shared" ref="I24:J24" si="7">SUM(I22:I23)</f>
        <v>540.29999999999995</v>
      </c>
      <c r="J24" s="63">
        <f t="shared" si="7"/>
        <v>530.20000000000005</v>
      </c>
      <c r="K24" s="63">
        <f t="shared" ref="K24" si="8">SUM(K22:K23)</f>
        <v>569.20000000000005</v>
      </c>
      <c r="L24" s="63">
        <v>605.1</v>
      </c>
      <c r="M24" s="63">
        <v>588.9</v>
      </c>
      <c r="N24" s="63">
        <f t="shared" ref="N24:O24" si="9">SUM(N22:N23)</f>
        <v>623</v>
      </c>
      <c r="O24" s="63">
        <f t="shared" si="9"/>
        <v>615.29999999999995</v>
      </c>
      <c r="P24" s="63">
        <f t="shared" ref="P24" si="10">SUM(P22:P23)</f>
        <v>610.6</v>
      </c>
      <c r="Q24" s="63">
        <v>616.20000000000005</v>
      </c>
      <c r="R24" s="63">
        <v>617.1</v>
      </c>
      <c r="S24" s="63">
        <f>+S22+S23</f>
        <v>697.6</v>
      </c>
      <c r="T24" s="64">
        <f t="shared" ref="T24" si="11">SUM(T22:T23)</f>
        <v>744.9</v>
      </c>
    </row>
    <row r="25" spans="1:20" ht="13.9" customHeight="1">
      <c r="A25" s="4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6"/>
    </row>
    <row r="26" spans="1:20" ht="17.25" hidden="1" customHeight="1">
      <c r="A26" s="43" t="s">
        <v>62</v>
      </c>
      <c r="B26" s="62">
        <v>30.4</v>
      </c>
      <c r="C26" s="62">
        <v>27.6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41">
        <v>0</v>
      </c>
    </row>
    <row r="27" spans="1:20" ht="13.9" customHeight="1">
      <c r="A27" s="43" t="s">
        <v>63</v>
      </c>
      <c r="B27" s="62"/>
      <c r="C27" s="62"/>
      <c r="D27" s="62">
        <v>0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62">
        <v>94.1</v>
      </c>
      <c r="O27" s="62">
        <v>164.9</v>
      </c>
      <c r="P27" s="62">
        <v>192.8</v>
      </c>
      <c r="Q27" s="62">
        <v>292</v>
      </c>
      <c r="R27" s="62">
        <v>292.3</v>
      </c>
      <c r="S27" s="62">
        <v>292.60000000000002</v>
      </c>
      <c r="T27" s="67">
        <v>292.89999999999998</v>
      </c>
    </row>
    <row r="28" spans="1:20" ht="13.9" customHeight="1">
      <c r="A28" s="43" t="s">
        <v>64</v>
      </c>
      <c r="B28" s="62">
        <v>2.7</v>
      </c>
      <c r="C28" s="62">
        <v>3.1</v>
      </c>
      <c r="D28" s="62">
        <v>3.6</v>
      </c>
      <c r="E28" s="62">
        <v>4</v>
      </c>
      <c r="F28" s="62">
        <v>4.4000000000000004</v>
      </c>
      <c r="G28" s="62">
        <v>4.9000000000000004</v>
      </c>
      <c r="H28" s="62">
        <v>5.4</v>
      </c>
      <c r="I28" s="62">
        <v>5.9</v>
      </c>
      <c r="J28" s="62">
        <v>6.4</v>
      </c>
      <c r="K28" s="62">
        <v>6.9</v>
      </c>
      <c r="L28" s="62">
        <v>7.5</v>
      </c>
      <c r="M28" s="62">
        <v>8.1</v>
      </c>
      <c r="N28" s="62">
        <v>8.5</v>
      </c>
      <c r="O28" s="62">
        <v>9.3000000000000007</v>
      </c>
      <c r="P28" s="62">
        <v>9.9</v>
      </c>
      <c r="Q28" s="62">
        <v>10.4</v>
      </c>
      <c r="R28" s="62">
        <v>11</v>
      </c>
      <c r="S28" s="62">
        <v>11.7</v>
      </c>
      <c r="T28" s="67">
        <v>11.8</v>
      </c>
    </row>
    <row r="29" spans="1:20" ht="13.9" customHeight="1">
      <c r="A29" s="43" t="s">
        <v>65</v>
      </c>
      <c r="B29" s="62">
        <v>15.5</v>
      </c>
      <c r="C29" s="62">
        <v>8.9</v>
      </c>
      <c r="D29" s="62">
        <v>11.2</v>
      </c>
      <c r="E29" s="62">
        <v>12.7</v>
      </c>
      <c r="F29" s="62">
        <v>12.9</v>
      </c>
      <c r="G29" s="62">
        <v>13</v>
      </c>
      <c r="H29" s="62">
        <v>13.2</v>
      </c>
      <c r="I29" s="62">
        <v>14.7</v>
      </c>
      <c r="J29" s="62">
        <v>14.9</v>
      </c>
      <c r="K29" s="62">
        <v>14.2</v>
      </c>
      <c r="L29" s="62">
        <f>14.4+12.4</f>
        <v>26.8</v>
      </c>
      <c r="M29" s="62">
        <f>14.6+12.5</f>
        <v>27.1</v>
      </c>
      <c r="N29" s="62">
        <f>14.9+12.3</f>
        <v>27.200000000000003</v>
      </c>
      <c r="O29" s="62">
        <f>13.4+10.4</f>
        <v>23.8</v>
      </c>
      <c r="P29" s="62">
        <v>24</v>
      </c>
      <c r="Q29" s="62">
        <v>25.1</v>
      </c>
      <c r="R29" s="62">
        <v>179.4</v>
      </c>
      <c r="S29" s="62">
        <v>224</v>
      </c>
      <c r="T29" s="67">
        <v>226.7</v>
      </c>
    </row>
    <row r="30" spans="1:20" ht="13.9" customHeight="1">
      <c r="A30" s="43" t="s">
        <v>66</v>
      </c>
      <c r="B30" s="62">
        <v>158</v>
      </c>
      <c r="C30" s="62">
        <v>228</v>
      </c>
      <c r="D30" s="62">
        <v>254.9</v>
      </c>
      <c r="E30" s="62">
        <v>235.4</v>
      </c>
      <c r="F30" s="62">
        <v>231.4</v>
      </c>
      <c r="G30" s="62">
        <v>233.1</v>
      </c>
      <c r="H30" s="62">
        <v>228.1</v>
      </c>
      <c r="I30" s="62">
        <v>223.1</v>
      </c>
      <c r="J30" s="62">
        <v>218.1</v>
      </c>
      <c r="K30" s="62">
        <v>213.6</v>
      </c>
      <c r="L30" s="62">
        <v>204.7</v>
      </c>
      <c r="M30" s="62">
        <v>245.5</v>
      </c>
      <c r="N30" s="62">
        <v>191.4</v>
      </c>
      <c r="O30" s="62">
        <v>187.2</v>
      </c>
      <c r="P30" s="62">
        <v>183</v>
      </c>
      <c r="Q30" s="62">
        <v>178.6</v>
      </c>
      <c r="R30" s="62">
        <v>94.4</v>
      </c>
      <c r="S30" s="62">
        <v>108.6</v>
      </c>
      <c r="T30" s="67">
        <v>99.5</v>
      </c>
    </row>
    <row r="31" spans="1:20" ht="13.9" customHeight="1">
      <c r="A31" s="43" t="s">
        <v>67</v>
      </c>
      <c r="B31" s="62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50.3</v>
      </c>
      <c r="L31" s="62">
        <v>50.3</v>
      </c>
      <c r="M31" s="62">
        <v>50.3</v>
      </c>
      <c r="N31" s="62">
        <v>50.3</v>
      </c>
      <c r="O31" s="62">
        <v>33.6</v>
      </c>
      <c r="P31" s="62">
        <v>33.6</v>
      </c>
      <c r="Q31" s="62">
        <v>33.6</v>
      </c>
      <c r="R31" s="62">
        <v>46.3</v>
      </c>
      <c r="S31" s="62">
        <v>67.400000000000006</v>
      </c>
      <c r="T31" s="67">
        <v>45.4</v>
      </c>
    </row>
    <row r="32" spans="1:20" ht="13.9" customHeight="1">
      <c r="A32" s="43" t="s">
        <v>50</v>
      </c>
      <c r="B32" s="13">
        <v>0</v>
      </c>
      <c r="C32" s="13">
        <v>0</v>
      </c>
      <c r="D32" s="13">
        <v>1.4</v>
      </c>
      <c r="E32" s="13">
        <v>2</v>
      </c>
      <c r="F32" s="13">
        <v>1.7</v>
      </c>
      <c r="G32" s="13">
        <v>0.4</v>
      </c>
      <c r="H32" s="13">
        <v>0</v>
      </c>
      <c r="I32" s="13">
        <v>0</v>
      </c>
      <c r="J32" s="13">
        <v>0</v>
      </c>
      <c r="K32" s="13">
        <v>0</v>
      </c>
      <c r="L32" s="13">
        <v>5</v>
      </c>
      <c r="M32" s="13">
        <v>4.5</v>
      </c>
      <c r="N32" s="13">
        <v>0</v>
      </c>
      <c r="O32" s="13">
        <v>1.4</v>
      </c>
      <c r="P32" s="13">
        <v>0.6</v>
      </c>
      <c r="Q32" s="13">
        <v>0</v>
      </c>
      <c r="R32" s="13">
        <v>1.9</v>
      </c>
      <c r="S32" s="13">
        <v>0.4</v>
      </c>
      <c r="T32" s="67">
        <v>0.5</v>
      </c>
    </row>
    <row r="33" spans="1:20" ht="13.9" customHeight="1">
      <c r="A33" s="44" t="s">
        <v>68</v>
      </c>
      <c r="B33" s="63">
        <f>SUM(B26:B32)</f>
        <v>206.6</v>
      </c>
      <c r="C33" s="63">
        <f>SUM(C26:C32)</f>
        <v>267.60000000000002</v>
      </c>
      <c r="D33" s="63">
        <f>SUM(D26:D32)</f>
        <v>271.09999999999997</v>
      </c>
      <c r="E33" s="63">
        <v>254.1</v>
      </c>
      <c r="F33" s="63">
        <f t="shared" ref="F33:M33" si="12">SUM(F26:F32)</f>
        <v>250.4</v>
      </c>
      <c r="G33" s="63">
        <f t="shared" si="12"/>
        <v>251.4</v>
      </c>
      <c r="H33" s="63">
        <f t="shared" si="12"/>
        <v>246.7</v>
      </c>
      <c r="I33" s="63">
        <f t="shared" si="12"/>
        <v>243.7</v>
      </c>
      <c r="J33" s="63">
        <f t="shared" si="12"/>
        <v>239.4</v>
      </c>
      <c r="K33" s="63">
        <f t="shared" si="12"/>
        <v>285</v>
      </c>
      <c r="L33" s="63">
        <f t="shared" si="12"/>
        <v>294.3</v>
      </c>
      <c r="M33" s="63">
        <f t="shared" si="12"/>
        <v>335.5</v>
      </c>
      <c r="N33" s="63">
        <f>SUM(N26:N32)</f>
        <v>371.50000000000006</v>
      </c>
      <c r="O33" s="63">
        <f>SUM(O26:O32)</f>
        <v>420.20000000000005</v>
      </c>
      <c r="P33" s="63">
        <f>SUM(P26:P32)</f>
        <v>443.90000000000009</v>
      </c>
      <c r="Q33" s="63">
        <v>539.70000000000005</v>
      </c>
      <c r="R33" s="63">
        <v>625.29999999999995</v>
      </c>
      <c r="S33" s="63">
        <f>SUM(S26:S32)</f>
        <v>704.69999999999993</v>
      </c>
      <c r="T33" s="64">
        <f>SUM(T26:T32)</f>
        <v>676.8</v>
      </c>
    </row>
    <row r="34" spans="1:20" ht="13.9" customHeight="1">
      <c r="A34" s="4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6"/>
    </row>
    <row r="35" spans="1:20" ht="13.9" customHeight="1">
      <c r="A35" s="43" t="s">
        <v>69</v>
      </c>
      <c r="B35" s="65"/>
      <c r="C35" s="65"/>
      <c r="D35" s="65"/>
      <c r="E35" s="65"/>
      <c r="F35" s="65"/>
      <c r="G35" s="65"/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5">
        <v>0</v>
      </c>
      <c r="P35" s="65">
        <v>0</v>
      </c>
      <c r="Q35" s="65">
        <v>0</v>
      </c>
      <c r="R35" s="103">
        <v>79.900000000000006</v>
      </c>
      <c r="S35" s="103">
        <v>79.900000000000006</v>
      </c>
      <c r="T35" s="100">
        <v>119.9</v>
      </c>
    </row>
    <row r="36" spans="1:20" ht="13.9" customHeight="1">
      <c r="A36" s="43" t="s">
        <v>70</v>
      </c>
      <c r="B36" s="62">
        <v>96.2</v>
      </c>
      <c r="C36" s="62">
        <v>90.5</v>
      </c>
      <c r="D36" s="62">
        <f>103.5-18.7</f>
        <v>84.8</v>
      </c>
      <c r="E36" s="62">
        <v>51</v>
      </c>
      <c r="F36" s="62">
        <v>42.4</v>
      </c>
      <c r="G36" s="62">
        <v>48.9</v>
      </c>
      <c r="H36" s="62">
        <v>44.4</v>
      </c>
      <c r="I36" s="62">
        <v>86.2</v>
      </c>
      <c r="J36" s="62">
        <v>88.9</v>
      </c>
      <c r="K36" s="62">
        <v>82.8</v>
      </c>
      <c r="L36" s="62">
        <v>96.4</v>
      </c>
      <c r="M36" s="62">
        <v>88.3</v>
      </c>
      <c r="N36" s="62">
        <v>90.4</v>
      </c>
      <c r="O36" s="62">
        <v>106.3</v>
      </c>
      <c r="P36" s="62">
        <v>124.3</v>
      </c>
      <c r="Q36" s="62">
        <v>144.4</v>
      </c>
      <c r="R36" s="62">
        <v>170.1</v>
      </c>
      <c r="S36" s="62">
        <v>219.7</v>
      </c>
      <c r="T36" s="67">
        <v>231.8</v>
      </c>
    </row>
    <row r="37" spans="1:20" ht="13.9" customHeight="1">
      <c r="A37" s="43" t="s">
        <v>71</v>
      </c>
      <c r="B37" s="62">
        <v>19</v>
      </c>
      <c r="C37" s="62">
        <v>16.600000000000001</v>
      </c>
      <c r="D37" s="62">
        <v>18.7</v>
      </c>
      <c r="E37" s="62">
        <v>15.8</v>
      </c>
      <c r="F37" s="62">
        <v>15.9</v>
      </c>
      <c r="G37" s="62">
        <v>19.100000000000001</v>
      </c>
      <c r="H37" s="62">
        <v>19.3</v>
      </c>
      <c r="I37" s="62">
        <v>19.5</v>
      </c>
      <c r="J37" s="62">
        <v>19.7</v>
      </c>
      <c r="K37" s="62">
        <v>19.600000000000001</v>
      </c>
      <c r="L37" s="62">
        <v>17.600000000000001</v>
      </c>
      <c r="M37" s="62">
        <v>15</v>
      </c>
      <c r="N37" s="62">
        <v>65.2</v>
      </c>
      <c r="O37" s="62">
        <v>68.8</v>
      </c>
      <c r="P37" s="62">
        <v>68.599999999999994</v>
      </c>
      <c r="Q37" s="62">
        <v>68.400000000000006</v>
      </c>
      <c r="R37" s="62">
        <v>83</v>
      </c>
      <c r="S37" s="62">
        <v>37.9</v>
      </c>
      <c r="T37" s="67">
        <v>37.9</v>
      </c>
    </row>
    <row r="38" spans="1:20" ht="13.9" customHeight="1">
      <c r="A38" s="43" t="s">
        <v>72</v>
      </c>
      <c r="B38" s="62">
        <v>0.4</v>
      </c>
      <c r="C38" s="13">
        <v>0</v>
      </c>
      <c r="D38" s="13">
        <v>0</v>
      </c>
      <c r="E38" s="13">
        <v>0.1</v>
      </c>
      <c r="F38" s="13">
        <v>0.2</v>
      </c>
      <c r="G38" s="13">
        <v>0.5</v>
      </c>
      <c r="H38" s="13">
        <v>0.3</v>
      </c>
      <c r="I38" s="13">
        <v>0.3</v>
      </c>
      <c r="J38" s="13">
        <v>0.4</v>
      </c>
      <c r="K38" s="13">
        <v>0.9</v>
      </c>
      <c r="L38" s="13">
        <v>0.8</v>
      </c>
      <c r="M38" s="13">
        <v>0.8</v>
      </c>
      <c r="N38" s="13">
        <v>0.9</v>
      </c>
      <c r="O38" s="13">
        <v>0.9</v>
      </c>
      <c r="P38" s="13">
        <v>0.8</v>
      </c>
      <c r="Q38" s="13">
        <v>1</v>
      </c>
      <c r="R38" s="13">
        <v>0.6</v>
      </c>
      <c r="S38" s="13">
        <v>0.6</v>
      </c>
      <c r="T38" s="41">
        <v>2.2000000000000002</v>
      </c>
    </row>
    <row r="39" spans="1:20" ht="13.9" customHeight="1">
      <c r="A39" s="43" t="s">
        <v>50</v>
      </c>
      <c r="B39" s="62"/>
      <c r="C39" s="13"/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17.2</v>
      </c>
      <c r="M39" s="13">
        <v>10.7</v>
      </c>
      <c r="N39" s="13">
        <v>3.6</v>
      </c>
      <c r="O39" s="13">
        <v>4.2</v>
      </c>
      <c r="P39" s="13">
        <v>1.1000000000000001</v>
      </c>
      <c r="Q39" s="13">
        <v>0</v>
      </c>
      <c r="R39" s="13">
        <v>6.2</v>
      </c>
      <c r="S39" s="13">
        <v>0</v>
      </c>
      <c r="T39" s="41">
        <v>1.1000000000000001</v>
      </c>
    </row>
    <row r="40" spans="1:20" ht="13.9" customHeight="1">
      <c r="A40" s="44" t="s">
        <v>73</v>
      </c>
      <c r="B40" s="63">
        <f>SUM(B36:B38)</f>
        <v>115.60000000000001</v>
      </c>
      <c r="C40" s="63">
        <f>SUM(C36:C38)</f>
        <v>107.1</v>
      </c>
      <c r="D40" s="63">
        <f t="shared" ref="D40:J40" si="13">SUM(D36:D39)</f>
        <v>103.5</v>
      </c>
      <c r="E40" s="63">
        <f t="shared" si="13"/>
        <v>66.899999999999991</v>
      </c>
      <c r="F40" s="63">
        <f t="shared" si="13"/>
        <v>58.5</v>
      </c>
      <c r="G40" s="63">
        <f t="shared" si="13"/>
        <v>68.5</v>
      </c>
      <c r="H40" s="63">
        <f t="shared" si="13"/>
        <v>64</v>
      </c>
      <c r="I40" s="63">
        <f t="shared" si="13"/>
        <v>106</v>
      </c>
      <c r="J40" s="63">
        <f t="shared" si="13"/>
        <v>109.00000000000001</v>
      </c>
      <c r="K40" s="63">
        <f>SUM(K36:K39)</f>
        <v>103.30000000000001</v>
      </c>
      <c r="L40" s="63">
        <v>132</v>
      </c>
      <c r="M40" s="63">
        <v>114.8</v>
      </c>
      <c r="N40" s="63">
        <f>SUM(N36:N39)</f>
        <v>160.10000000000002</v>
      </c>
      <c r="O40" s="63">
        <f>SUM(O36:O39)</f>
        <v>180.2</v>
      </c>
      <c r="P40" s="63">
        <f>SUM(P36:P39)</f>
        <v>194.79999999999998</v>
      </c>
      <c r="Q40" s="63">
        <v>213.8</v>
      </c>
      <c r="R40" s="63">
        <v>339.8</v>
      </c>
      <c r="S40" s="63">
        <f>SUM(S35:S39)</f>
        <v>338.1</v>
      </c>
      <c r="T40" s="64">
        <f>SUM(T35:T39)</f>
        <v>392.90000000000003</v>
      </c>
    </row>
    <row r="41" spans="1:20" ht="13.9" customHeight="1">
      <c r="A41" s="46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9"/>
    </row>
    <row r="42" spans="1:20" ht="13.9" customHeight="1">
      <c r="A42" s="44" t="s">
        <v>74</v>
      </c>
      <c r="B42" s="63">
        <f>B40+B33</f>
        <v>322.2</v>
      </c>
      <c r="C42" s="63">
        <f>C40+C33</f>
        <v>374.70000000000005</v>
      </c>
      <c r="D42" s="63">
        <f>D40+D33</f>
        <v>374.59999999999997</v>
      </c>
      <c r="E42" s="63">
        <v>321</v>
      </c>
      <c r="F42" s="63">
        <f t="shared" ref="F42:M42" si="14">F40+F33</f>
        <v>308.89999999999998</v>
      </c>
      <c r="G42" s="63">
        <f t="shared" si="14"/>
        <v>319.89999999999998</v>
      </c>
      <c r="H42" s="63">
        <f t="shared" si="14"/>
        <v>310.7</v>
      </c>
      <c r="I42" s="63">
        <f t="shared" si="14"/>
        <v>349.7</v>
      </c>
      <c r="J42" s="63">
        <f t="shared" si="14"/>
        <v>348.40000000000003</v>
      </c>
      <c r="K42" s="63">
        <f t="shared" si="14"/>
        <v>388.3</v>
      </c>
      <c r="L42" s="63">
        <f t="shared" si="14"/>
        <v>426.3</v>
      </c>
      <c r="M42" s="63">
        <f t="shared" si="14"/>
        <v>450.3</v>
      </c>
      <c r="N42" s="63">
        <f>N40+N33</f>
        <v>531.60000000000014</v>
      </c>
      <c r="O42" s="63">
        <f>O40+O33</f>
        <v>600.40000000000009</v>
      </c>
      <c r="P42" s="63">
        <f>P40+P33</f>
        <v>638.70000000000005</v>
      </c>
      <c r="Q42" s="63">
        <v>753.5</v>
      </c>
      <c r="R42" s="63">
        <v>965.09999999999991</v>
      </c>
      <c r="S42" s="63">
        <f>S40+S33</f>
        <v>1042.8</v>
      </c>
      <c r="T42" s="64">
        <f>T40+T33</f>
        <v>1069.7</v>
      </c>
    </row>
    <row r="43" spans="1:20" ht="13.9" customHeight="1">
      <c r="A43" s="46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9"/>
    </row>
    <row r="44" spans="1:20" ht="13.9" customHeight="1">
      <c r="A44" s="44" t="s">
        <v>75</v>
      </c>
      <c r="B44" s="63">
        <f>B42+B24</f>
        <v>599.09999999999991</v>
      </c>
      <c r="C44" s="63">
        <f>C42+C24</f>
        <v>737.80000000000007</v>
      </c>
      <c r="D44" s="63">
        <f>D42+D24</f>
        <v>835.5</v>
      </c>
      <c r="E44" s="63">
        <v>776.3</v>
      </c>
      <c r="F44" s="63">
        <f t="shared" ref="F44:M44" si="15">F42+F24</f>
        <v>757.3</v>
      </c>
      <c r="G44" s="63">
        <f t="shared" si="15"/>
        <v>763.09999999999991</v>
      </c>
      <c r="H44" s="63">
        <f t="shared" si="15"/>
        <v>835.5</v>
      </c>
      <c r="I44" s="63">
        <f t="shared" si="15"/>
        <v>890</v>
      </c>
      <c r="J44" s="63">
        <f t="shared" si="15"/>
        <v>878.60000000000014</v>
      </c>
      <c r="K44" s="63">
        <f t="shared" si="15"/>
        <v>957.5</v>
      </c>
      <c r="L44" s="63">
        <f t="shared" si="15"/>
        <v>1031.4000000000001</v>
      </c>
      <c r="M44" s="63">
        <f t="shared" si="15"/>
        <v>1039.2</v>
      </c>
      <c r="N44" s="63">
        <f>N42+N24</f>
        <v>1154.6000000000001</v>
      </c>
      <c r="O44" s="63">
        <f>O42+O24</f>
        <v>1215.7</v>
      </c>
      <c r="P44" s="63">
        <f>P42+P24</f>
        <v>1249.3000000000002</v>
      </c>
      <c r="Q44" s="63">
        <v>1369.7</v>
      </c>
      <c r="R44" s="63">
        <v>1582.1999999999998</v>
      </c>
      <c r="S44" s="63">
        <f>S42+S24</f>
        <v>1740.4</v>
      </c>
      <c r="T44" s="64">
        <f>T42+T24</f>
        <v>1814.6</v>
      </c>
    </row>
    <row r="45" spans="1:20" ht="13.9" customHeight="1">
      <c r="A45" s="99" t="s">
        <v>76</v>
      </c>
    </row>
  </sheetData>
  <phoneticPr fontId="9" type="noConversion"/>
  <pageMargins left="0.7" right="0.7" top="0.75" bottom="0.75" header="0.3" footer="0.3"/>
  <pageSetup scale="91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2:AA34"/>
  <sheetViews>
    <sheetView showGridLines="0" zoomScale="80" zoomScaleNormal="80" zoomScalePageLayoutView="115" workbookViewId="0">
      <pane xSplit="1" ySplit="2" topLeftCell="E3" activePane="bottomRight" state="frozen"/>
      <selection pane="bottomRight" activeCell="W21" sqref="W21"/>
      <selection pane="bottomLeft" activeCell="A6" sqref="A6"/>
      <selection pane="topRight" activeCell="A6" sqref="A6"/>
    </sheetView>
  </sheetViews>
  <sheetFormatPr defaultColWidth="8.7109375" defaultRowHeight="13.9" customHeight="1"/>
  <cols>
    <col min="1" max="1" width="78.7109375" style="19" bestFit="1" customWidth="1"/>
    <col min="2" max="9" width="11" style="19" hidden="1" customWidth="1"/>
    <col min="10" max="13" width="11" style="19" customWidth="1"/>
    <col min="14" max="26" width="8.7109375" style="19"/>
    <col min="27" max="27" width="10.7109375" style="19" customWidth="1"/>
    <col min="28" max="233" width="8.7109375" style="19"/>
    <col min="234" max="234" width="38.28515625" style="19" customWidth="1"/>
    <col min="235" max="235" width="9.7109375" style="19" customWidth="1"/>
    <col min="236" max="238" width="8.28515625" style="19" customWidth="1"/>
    <col min="239" max="239" width="7.42578125" style="19" customWidth="1"/>
    <col min="240" max="240" width="8.7109375" style="19" customWidth="1"/>
    <col min="241" max="489" width="8.7109375" style="19"/>
    <col min="490" max="490" width="38.28515625" style="19" customWidth="1"/>
    <col min="491" max="491" width="9.7109375" style="19" customWidth="1"/>
    <col min="492" max="494" width="8.28515625" style="19" customWidth="1"/>
    <col min="495" max="495" width="7.42578125" style="19" customWidth="1"/>
    <col min="496" max="496" width="8.7109375" style="19" customWidth="1"/>
    <col min="497" max="745" width="8.7109375" style="19"/>
    <col min="746" max="746" width="38.28515625" style="19" customWidth="1"/>
    <col min="747" max="747" width="9.7109375" style="19" customWidth="1"/>
    <col min="748" max="750" width="8.28515625" style="19" customWidth="1"/>
    <col min="751" max="751" width="7.42578125" style="19" customWidth="1"/>
    <col min="752" max="752" width="8.7109375" style="19" customWidth="1"/>
    <col min="753" max="1001" width="8.7109375" style="19"/>
    <col min="1002" max="1002" width="38.28515625" style="19" customWidth="1"/>
    <col min="1003" max="1003" width="9.7109375" style="19" customWidth="1"/>
    <col min="1004" max="1006" width="8.28515625" style="19" customWidth="1"/>
    <col min="1007" max="1007" width="7.42578125" style="19" customWidth="1"/>
    <col min="1008" max="1008" width="8.7109375" style="19" customWidth="1"/>
    <col min="1009" max="1257" width="8.7109375" style="19"/>
    <col min="1258" max="1258" width="38.28515625" style="19" customWidth="1"/>
    <col min="1259" max="1259" width="9.7109375" style="19" customWidth="1"/>
    <col min="1260" max="1262" width="8.28515625" style="19" customWidth="1"/>
    <col min="1263" max="1263" width="7.42578125" style="19" customWidth="1"/>
    <col min="1264" max="1264" width="8.7109375" style="19" customWidth="1"/>
    <col min="1265" max="1513" width="8.7109375" style="19"/>
    <col min="1514" max="1514" width="38.28515625" style="19" customWidth="1"/>
    <col min="1515" max="1515" width="9.7109375" style="19" customWidth="1"/>
    <col min="1516" max="1518" width="8.28515625" style="19" customWidth="1"/>
    <col min="1519" max="1519" width="7.42578125" style="19" customWidth="1"/>
    <col min="1520" max="1520" width="8.7109375" style="19" customWidth="1"/>
    <col min="1521" max="1769" width="8.7109375" style="19"/>
    <col min="1770" max="1770" width="38.28515625" style="19" customWidth="1"/>
    <col min="1771" max="1771" width="9.7109375" style="19" customWidth="1"/>
    <col min="1772" max="1774" width="8.28515625" style="19" customWidth="1"/>
    <col min="1775" max="1775" width="7.42578125" style="19" customWidth="1"/>
    <col min="1776" max="1776" width="8.7109375" style="19" customWidth="1"/>
    <col min="1777" max="2025" width="8.7109375" style="19"/>
    <col min="2026" max="2026" width="38.28515625" style="19" customWidth="1"/>
    <col min="2027" max="2027" width="9.7109375" style="19" customWidth="1"/>
    <col min="2028" max="2030" width="8.28515625" style="19" customWidth="1"/>
    <col min="2031" max="2031" width="7.42578125" style="19" customWidth="1"/>
    <col min="2032" max="2032" width="8.7109375" style="19" customWidth="1"/>
    <col min="2033" max="2281" width="8.7109375" style="19"/>
    <col min="2282" max="2282" width="38.28515625" style="19" customWidth="1"/>
    <col min="2283" max="2283" width="9.7109375" style="19" customWidth="1"/>
    <col min="2284" max="2286" width="8.28515625" style="19" customWidth="1"/>
    <col min="2287" max="2287" width="7.42578125" style="19" customWidth="1"/>
    <col min="2288" max="2288" width="8.7109375" style="19" customWidth="1"/>
    <col min="2289" max="2537" width="8.7109375" style="19"/>
    <col min="2538" max="2538" width="38.28515625" style="19" customWidth="1"/>
    <col min="2539" max="2539" width="9.7109375" style="19" customWidth="1"/>
    <col min="2540" max="2542" width="8.28515625" style="19" customWidth="1"/>
    <col min="2543" max="2543" width="7.42578125" style="19" customWidth="1"/>
    <col min="2544" max="2544" width="8.7109375" style="19" customWidth="1"/>
    <col min="2545" max="2793" width="8.7109375" style="19"/>
    <col min="2794" max="2794" width="38.28515625" style="19" customWidth="1"/>
    <col min="2795" max="2795" width="9.7109375" style="19" customWidth="1"/>
    <col min="2796" max="2798" width="8.28515625" style="19" customWidth="1"/>
    <col min="2799" max="2799" width="7.42578125" style="19" customWidth="1"/>
    <col min="2800" max="2800" width="8.7109375" style="19" customWidth="1"/>
    <col min="2801" max="3049" width="8.7109375" style="19"/>
    <col min="3050" max="3050" width="38.28515625" style="19" customWidth="1"/>
    <col min="3051" max="3051" width="9.7109375" style="19" customWidth="1"/>
    <col min="3052" max="3054" width="8.28515625" style="19" customWidth="1"/>
    <col min="3055" max="3055" width="7.42578125" style="19" customWidth="1"/>
    <col min="3056" max="3056" width="8.7109375" style="19" customWidth="1"/>
    <col min="3057" max="3305" width="8.7109375" style="19"/>
    <col min="3306" max="3306" width="38.28515625" style="19" customWidth="1"/>
    <col min="3307" max="3307" width="9.7109375" style="19" customWidth="1"/>
    <col min="3308" max="3310" width="8.28515625" style="19" customWidth="1"/>
    <col min="3311" max="3311" width="7.42578125" style="19" customWidth="1"/>
    <col min="3312" max="3312" width="8.7109375" style="19" customWidth="1"/>
    <col min="3313" max="3561" width="8.7109375" style="19"/>
    <col min="3562" max="3562" width="38.28515625" style="19" customWidth="1"/>
    <col min="3563" max="3563" width="9.7109375" style="19" customWidth="1"/>
    <col min="3564" max="3566" width="8.28515625" style="19" customWidth="1"/>
    <col min="3567" max="3567" width="7.42578125" style="19" customWidth="1"/>
    <col min="3568" max="3568" width="8.7109375" style="19" customWidth="1"/>
    <col min="3569" max="3817" width="8.7109375" style="19"/>
    <col min="3818" max="3818" width="38.28515625" style="19" customWidth="1"/>
    <col min="3819" max="3819" width="9.7109375" style="19" customWidth="1"/>
    <col min="3820" max="3822" width="8.28515625" style="19" customWidth="1"/>
    <col min="3823" max="3823" width="7.42578125" style="19" customWidth="1"/>
    <col min="3824" max="3824" width="8.7109375" style="19" customWidth="1"/>
    <col min="3825" max="4073" width="8.7109375" style="19"/>
    <col min="4074" max="4074" width="38.28515625" style="19" customWidth="1"/>
    <col min="4075" max="4075" width="9.7109375" style="19" customWidth="1"/>
    <col min="4076" max="4078" width="8.28515625" style="19" customWidth="1"/>
    <col min="4079" max="4079" width="7.42578125" style="19" customWidth="1"/>
    <col min="4080" max="4080" width="8.7109375" style="19" customWidth="1"/>
    <col min="4081" max="4329" width="8.7109375" style="19"/>
    <col min="4330" max="4330" width="38.28515625" style="19" customWidth="1"/>
    <col min="4331" max="4331" width="9.7109375" style="19" customWidth="1"/>
    <col min="4332" max="4334" width="8.28515625" style="19" customWidth="1"/>
    <col min="4335" max="4335" width="7.42578125" style="19" customWidth="1"/>
    <col min="4336" max="4336" width="8.7109375" style="19" customWidth="1"/>
    <col min="4337" max="4585" width="8.7109375" style="19"/>
    <col min="4586" max="4586" width="38.28515625" style="19" customWidth="1"/>
    <col min="4587" max="4587" width="9.7109375" style="19" customWidth="1"/>
    <col min="4588" max="4590" width="8.28515625" style="19" customWidth="1"/>
    <col min="4591" max="4591" width="7.42578125" style="19" customWidth="1"/>
    <col min="4592" max="4592" width="8.7109375" style="19" customWidth="1"/>
    <col min="4593" max="4841" width="8.7109375" style="19"/>
    <col min="4842" max="4842" width="38.28515625" style="19" customWidth="1"/>
    <col min="4843" max="4843" width="9.7109375" style="19" customWidth="1"/>
    <col min="4844" max="4846" width="8.28515625" style="19" customWidth="1"/>
    <col min="4847" max="4847" width="7.42578125" style="19" customWidth="1"/>
    <col min="4848" max="4848" width="8.7109375" style="19" customWidth="1"/>
    <col min="4849" max="5097" width="8.7109375" style="19"/>
    <col min="5098" max="5098" width="38.28515625" style="19" customWidth="1"/>
    <col min="5099" max="5099" width="9.7109375" style="19" customWidth="1"/>
    <col min="5100" max="5102" width="8.28515625" style="19" customWidth="1"/>
    <col min="5103" max="5103" width="7.42578125" style="19" customWidth="1"/>
    <col min="5104" max="5104" width="8.7109375" style="19" customWidth="1"/>
    <col min="5105" max="5353" width="8.7109375" style="19"/>
    <col min="5354" max="5354" width="38.28515625" style="19" customWidth="1"/>
    <col min="5355" max="5355" width="9.7109375" style="19" customWidth="1"/>
    <col min="5356" max="5358" width="8.28515625" style="19" customWidth="1"/>
    <col min="5359" max="5359" width="7.42578125" style="19" customWidth="1"/>
    <col min="5360" max="5360" width="8.7109375" style="19" customWidth="1"/>
    <col min="5361" max="5609" width="8.7109375" style="19"/>
    <col min="5610" max="5610" width="38.28515625" style="19" customWidth="1"/>
    <col min="5611" max="5611" width="9.7109375" style="19" customWidth="1"/>
    <col min="5612" max="5614" width="8.28515625" style="19" customWidth="1"/>
    <col min="5615" max="5615" width="7.42578125" style="19" customWidth="1"/>
    <col min="5616" max="5616" width="8.7109375" style="19" customWidth="1"/>
    <col min="5617" max="5865" width="8.7109375" style="19"/>
    <col min="5866" max="5866" width="38.28515625" style="19" customWidth="1"/>
    <col min="5867" max="5867" width="9.7109375" style="19" customWidth="1"/>
    <col min="5868" max="5870" width="8.28515625" style="19" customWidth="1"/>
    <col min="5871" max="5871" width="7.42578125" style="19" customWidth="1"/>
    <col min="5872" max="5872" width="8.7109375" style="19" customWidth="1"/>
    <col min="5873" max="6121" width="8.7109375" style="19"/>
    <col min="6122" max="6122" width="38.28515625" style="19" customWidth="1"/>
    <col min="6123" max="6123" width="9.7109375" style="19" customWidth="1"/>
    <col min="6124" max="6126" width="8.28515625" style="19" customWidth="1"/>
    <col min="6127" max="6127" width="7.42578125" style="19" customWidth="1"/>
    <col min="6128" max="6128" width="8.7109375" style="19" customWidth="1"/>
    <col min="6129" max="6377" width="8.7109375" style="19"/>
    <col min="6378" max="6378" width="38.28515625" style="19" customWidth="1"/>
    <col min="6379" max="6379" width="9.7109375" style="19" customWidth="1"/>
    <col min="6380" max="6382" width="8.28515625" style="19" customWidth="1"/>
    <col min="6383" max="6383" width="7.42578125" style="19" customWidth="1"/>
    <col min="6384" max="6384" width="8.7109375" style="19" customWidth="1"/>
    <col min="6385" max="6633" width="8.7109375" style="19"/>
    <col min="6634" max="6634" width="38.28515625" style="19" customWidth="1"/>
    <col min="6635" max="6635" width="9.7109375" style="19" customWidth="1"/>
    <col min="6636" max="6638" width="8.28515625" style="19" customWidth="1"/>
    <col min="6639" max="6639" width="7.42578125" style="19" customWidth="1"/>
    <col min="6640" max="6640" width="8.7109375" style="19" customWidth="1"/>
    <col min="6641" max="6889" width="8.7109375" style="19"/>
    <col min="6890" max="6890" width="38.28515625" style="19" customWidth="1"/>
    <col min="6891" max="6891" width="9.7109375" style="19" customWidth="1"/>
    <col min="6892" max="6894" width="8.28515625" style="19" customWidth="1"/>
    <col min="6895" max="6895" width="7.42578125" style="19" customWidth="1"/>
    <col min="6896" max="6896" width="8.7109375" style="19" customWidth="1"/>
    <col min="6897" max="7145" width="8.7109375" style="19"/>
    <col min="7146" max="7146" width="38.28515625" style="19" customWidth="1"/>
    <col min="7147" max="7147" width="9.7109375" style="19" customWidth="1"/>
    <col min="7148" max="7150" width="8.28515625" style="19" customWidth="1"/>
    <col min="7151" max="7151" width="7.42578125" style="19" customWidth="1"/>
    <col min="7152" max="7152" width="8.7109375" style="19" customWidth="1"/>
    <col min="7153" max="7401" width="8.7109375" style="19"/>
    <col min="7402" max="7402" width="38.28515625" style="19" customWidth="1"/>
    <col min="7403" max="7403" width="9.7109375" style="19" customWidth="1"/>
    <col min="7404" max="7406" width="8.28515625" style="19" customWidth="1"/>
    <col min="7407" max="7407" width="7.42578125" style="19" customWidth="1"/>
    <col min="7408" max="7408" width="8.7109375" style="19" customWidth="1"/>
    <col min="7409" max="7657" width="8.7109375" style="19"/>
    <col min="7658" max="7658" width="38.28515625" style="19" customWidth="1"/>
    <col min="7659" max="7659" width="9.7109375" style="19" customWidth="1"/>
    <col min="7660" max="7662" width="8.28515625" style="19" customWidth="1"/>
    <col min="7663" max="7663" width="7.42578125" style="19" customWidth="1"/>
    <col min="7664" max="7664" width="8.7109375" style="19" customWidth="1"/>
    <col min="7665" max="7913" width="8.7109375" style="19"/>
    <col min="7914" max="7914" width="38.28515625" style="19" customWidth="1"/>
    <col min="7915" max="7915" width="9.7109375" style="19" customWidth="1"/>
    <col min="7916" max="7918" width="8.28515625" style="19" customWidth="1"/>
    <col min="7919" max="7919" width="7.42578125" style="19" customWidth="1"/>
    <col min="7920" max="7920" width="8.7109375" style="19" customWidth="1"/>
    <col min="7921" max="8169" width="8.7109375" style="19"/>
    <col min="8170" max="8170" width="38.28515625" style="19" customWidth="1"/>
    <col min="8171" max="8171" width="9.7109375" style="19" customWidth="1"/>
    <col min="8172" max="8174" width="8.28515625" style="19" customWidth="1"/>
    <col min="8175" max="8175" width="7.42578125" style="19" customWidth="1"/>
    <col min="8176" max="8176" width="8.7109375" style="19" customWidth="1"/>
    <col min="8177" max="8425" width="8.7109375" style="19"/>
    <col min="8426" max="8426" width="38.28515625" style="19" customWidth="1"/>
    <col min="8427" max="8427" width="9.7109375" style="19" customWidth="1"/>
    <col min="8428" max="8430" width="8.28515625" style="19" customWidth="1"/>
    <col min="8431" max="8431" width="7.42578125" style="19" customWidth="1"/>
    <col min="8432" max="8432" width="8.7109375" style="19" customWidth="1"/>
    <col min="8433" max="8681" width="8.7109375" style="19"/>
    <col min="8682" max="8682" width="38.28515625" style="19" customWidth="1"/>
    <col min="8683" max="8683" width="9.7109375" style="19" customWidth="1"/>
    <col min="8684" max="8686" width="8.28515625" style="19" customWidth="1"/>
    <col min="8687" max="8687" width="7.42578125" style="19" customWidth="1"/>
    <col min="8688" max="8688" width="8.7109375" style="19" customWidth="1"/>
    <col min="8689" max="8937" width="8.7109375" style="19"/>
    <col min="8938" max="8938" width="38.28515625" style="19" customWidth="1"/>
    <col min="8939" max="8939" width="9.7109375" style="19" customWidth="1"/>
    <col min="8940" max="8942" width="8.28515625" style="19" customWidth="1"/>
    <col min="8943" max="8943" width="7.42578125" style="19" customWidth="1"/>
    <col min="8944" max="8944" width="8.7109375" style="19" customWidth="1"/>
    <col min="8945" max="9193" width="8.7109375" style="19"/>
    <col min="9194" max="9194" width="38.28515625" style="19" customWidth="1"/>
    <col min="9195" max="9195" width="9.7109375" style="19" customWidth="1"/>
    <col min="9196" max="9198" width="8.28515625" style="19" customWidth="1"/>
    <col min="9199" max="9199" width="7.42578125" style="19" customWidth="1"/>
    <col min="9200" max="9200" width="8.7109375" style="19" customWidth="1"/>
    <col min="9201" max="9449" width="8.7109375" style="19"/>
    <col min="9450" max="9450" width="38.28515625" style="19" customWidth="1"/>
    <col min="9451" max="9451" width="9.7109375" style="19" customWidth="1"/>
    <col min="9452" max="9454" width="8.28515625" style="19" customWidth="1"/>
    <col min="9455" max="9455" width="7.42578125" style="19" customWidth="1"/>
    <col min="9456" max="9456" width="8.7109375" style="19" customWidth="1"/>
    <col min="9457" max="9705" width="8.7109375" style="19"/>
    <col min="9706" max="9706" width="38.28515625" style="19" customWidth="1"/>
    <col min="9707" max="9707" width="9.7109375" style="19" customWidth="1"/>
    <col min="9708" max="9710" width="8.28515625" style="19" customWidth="1"/>
    <col min="9711" max="9711" width="7.42578125" style="19" customWidth="1"/>
    <col min="9712" max="9712" width="8.7109375" style="19" customWidth="1"/>
    <col min="9713" max="9961" width="8.7109375" style="19"/>
    <col min="9962" max="9962" width="38.28515625" style="19" customWidth="1"/>
    <col min="9963" max="9963" width="9.7109375" style="19" customWidth="1"/>
    <col min="9964" max="9966" width="8.28515625" style="19" customWidth="1"/>
    <col min="9967" max="9967" width="7.42578125" style="19" customWidth="1"/>
    <col min="9968" max="9968" width="8.7109375" style="19" customWidth="1"/>
    <col min="9969" max="10217" width="8.7109375" style="19"/>
    <col min="10218" max="10218" width="38.28515625" style="19" customWidth="1"/>
    <col min="10219" max="10219" width="9.7109375" style="19" customWidth="1"/>
    <col min="10220" max="10222" width="8.28515625" style="19" customWidth="1"/>
    <col min="10223" max="10223" width="7.42578125" style="19" customWidth="1"/>
    <col min="10224" max="10224" width="8.7109375" style="19" customWidth="1"/>
    <col min="10225" max="10473" width="8.7109375" style="19"/>
    <col min="10474" max="10474" width="38.28515625" style="19" customWidth="1"/>
    <col min="10475" max="10475" width="9.7109375" style="19" customWidth="1"/>
    <col min="10476" max="10478" width="8.28515625" style="19" customWidth="1"/>
    <col min="10479" max="10479" width="7.42578125" style="19" customWidth="1"/>
    <col min="10480" max="10480" width="8.7109375" style="19" customWidth="1"/>
    <col min="10481" max="10729" width="8.7109375" style="19"/>
    <col min="10730" max="10730" width="38.28515625" style="19" customWidth="1"/>
    <col min="10731" max="10731" width="9.7109375" style="19" customWidth="1"/>
    <col min="10732" max="10734" width="8.28515625" style="19" customWidth="1"/>
    <col min="10735" max="10735" width="7.42578125" style="19" customWidth="1"/>
    <col min="10736" max="10736" width="8.7109375" style="19" customWidth="1"/>
    <col min="10737" max="10985" width="8.7109375" style="19"/>
    <col min="10986" max="10986" width="38.28515625" style="19" customWidth="1"/>
    <col min="10987" max="10987" width="9.7109375" style="19" customWidth="1"/>
    <col min="10988" max="10990" width="8.28515625" style="19" customWidth="1"/>
    <col min="10991" max="10991" width="7.42578125" style="19" customWidth="1"/>
    <col min="10992" max="10992" width="8.7109375" style="19" customWidth="1"/>
    <col min="10993" max="11241" width="8.7109375" style="19"/>
    <col min="11242" max="11242" width="38.28515625" style="19" customWidth="1"/>
    <col min="11243" max="11243" width="9.7109375" style="19" customWidth="1"/>
    <col min="11244" max="11246" width="8.28515625" style="19" customWidth="1"/>
    <col min="11247" max="11247" width="7.42578125" style="19" customWidth="1"/>
    <col min="11248" max="11248" width="8.7109375" style="19" customWidth="1"/>
    <col min="11249" max="11497" width="8.7109375" style="19"/>
    <col min="11498" max="11498" width="38.28515625" style="19" customWidth="1"/>
    <col min="11499" max="11499" width="9.7109375" style="19" customWidth="1"/>
    <col min="11500" max="11502" width="8.28515625" style="19" customWidth="1"/>
    <col min="11503" max="11503" width="7.42578125" style="19" customWidth="1"/>
    <col min="11504" max="11504" width="8.7109375" style="19" customWidth="1"/>
    <col min="11505" max="11753" width="8.7109375" style="19"/>
    <col min="11754" max="11754" width="38.28515625" style="19" customWidth="1"/>
    <col min="11755" max="11755" width="9.7109375" style="19" customWidth="1"/>
    <col min="11756" max="11758" width="8.28515625" style="19" customWidth="1"/>
    <col min="11759" max="11759" width="7.42578125" style="19" customWidth="1"/>
    <col min="11760" max="11760" width="8.7109375" style="19" customWidth="1"/>
    <col min="11761" max="12009" width="8.7109375" style="19"/>
    <col min="12010" max="12010" width="38.28515625" style="19" customWidth="1"/>
    <col min="12011" max="12011" width="9.7109375" style="19" customWidth="1"/>
    <col min="12012" max="12014" width="8.28515625" style="19" customWidth="1"/>
    <col min="12015" max="12015" width="7.42578125" style="19" customWidth="1"/>
    <col min="12016" max="12016" width="8.7109375" style="19" customWidth="1"/>
    <col min="12017" max="12265" width="8.7109375" style="19"/>
    <col min="12266" max="12266" width="38.28515625" style="19" customWidth="1"/>
    <col min="12267" max="12267" width="9.7109375" style="19" customWidth="1"/>
    <col min="12268" max="12270" width="8.28515625" style="19" customWidth="1"/>
    <col min="12271" max="12271" width="7.42578125" style="19" customWidth="1"/>
    <col min="12272" max="12272" width="8.7109375" style="19" customWidth="1"/>
    <col min="12273" max="12521" width="8.7109375" style="19"/>
    <col min="12522" max="12522" width="38.28515625" style="19" customWidth="1"/>
    <col min="12523" max="12523" width="9.7109375" style="19" customWidth="1"/>
    <col min="12524" max="12526" width="8.28515625" style="19" customWidth="1"/>
    <col min="12527" max="12527" width="7.42578125" style="19" customWidth="1"/>
    <col min="12528" max="12528" width="8.7109375" style="19" customWidth="1"/>
    <col min="12529" max="12777" width="8.7109375" style="19"/>
    <col min="12778" max="12778" width="38.28515625" style="19" customWidth="1"/>
    <col min="12779" max="12779" width="9.7109375" style="19" customWidth="1"/>
    <col min="12780" max="12782" width="8.28515625" style="19" customWidth="1"/>
    <col min="12783" max="12783" width="7.42578125" style="19" customWidth="1"/>
    <col min="12784" max="12784" width="8.7109375" style="19" customWidth="1"/>
    <col min="12785" max="13033" width="8.7109375" style="19"/>
    <col min="13034" max="13034" width="38.28515625" style="19" customWidth="1"/>
    <col min="13035" max="13035" width="9.7109375" style="19" customWidth="1"/>
    <col min="13036" max="13038" width="8.28515625" style="19" customWidth="1"/>
    <col min="13039" max="13039" width="7.42578125" style="19" customWidth="1"/>
    <col min="13040" max="13040" width="8.7109375" style="19" customWidth="1"/>
    <col min="13041" max="13289" width="8.7109375" style="19"/>
    <col min="13290" max="13290" width="38.28515625" style="19" customWidth="1"/>
    <col min="13291" max="13291" width="9.7109375" style="19" customWidth="1"/>
    <col min="13292" max="13294" width="8.28515625" style="19" customWidth="1"/>
    <col min="13295" max="13295" width="7.42578125" style="19" customWidth="1"/>
    <col min="13296" max="13296" width="8.7109375" style="19" customWidth="1"/>
    <col min="13297" max="13545" width="8.7109375" style="19"/>
    <col min="13546" max="13546" width="38.28515625" style="19" customWidth="1"/>
    <col min="13547" max="13547" width="9.7109375" style="19" customWidth="1"/>
    <col min="13548" max="13550" width="8.28515625" style="19" customWidth="1"/>
    <col min="13551" max="13551" width="7.42578125" style="19" customWidth="1"/>
    <col min="13552" max="13552" width="8.7109375" style="19" customWidth="1"/>
    <col min="13553" max="13801" width="8.7109375" style="19"/>
    <col min="13802" max="13802" width="38.28515625" style="19" customWidth="1"/>
    <col min="13803" max="13803" width="9.7109375" style="19" customWidth="1"/>
    <col min="13804" max="13806" width="8.28515625" style="19" customWidth="1"/>
    <col min="13807" max="13807" width="7.42578125" style="19" customWidth="1"/>
    <col min="13808" max="13808" width="8.7109375" style="19" customWidth="1"/>
    <col min="13809" max="14057" width="8.7109375" style="19"/>
    <col min="14058" max="14058" width="38.28515625" style="19" customWidth="1"/>
    <col min="14059" max="14059" width="9.7109375" style="19" customWidth="1"/>
    <col min="14060" max="14062" width="8.28515625" style="19" customWidth="1"/>
    <col min="14063" max="14063" width="7.42578125" style="19" customWidth="1"/>
    <col min="14064" max="14064" width="8.7109375" style="19" customWidth="1"/>
    <col min="14065" max="14313" width="8.7109375" style="19"/>
    <col min="14314" max="14314" width="38.28515625" style="19" customWidth="1"/>
    <col min="14315" max="14315" width="9.7109375" style="19" customWidth="1"/>
    <col min="14316" max="14318" width="8.28515625" style="19" customWidth="1"/>
    <col min="14319" max="14319" width="7.42578125" style="19" customWidth="1"/>
    <col min="14320" max="14320" width="8.7109375" style="19" customWidth="1"/>
    <col min="14321" max="14569" width="8.7109375" style="19"/>
    <col min="14570" max="14570" width="38.28515625" style="19" customWidth="1"/>
    <col min="14571" max="14571" width="9.7109375" style="19" customWidth="1"/>
    <col min="14572" max="14574" width="8.28515625" style="19" customWidth="1"/>
    <col min="14575" max="14575" width="7.42578125" style="19" customWidth="1"/>
    <col min="14576" max="14576" width="8.7109375" style="19" customWidth="1"/>
    <col min="14577" max="14825" width="8.7109375" style="19"/>
    <col min="14826" max="14826" width="38.28515625" style="19" customWidth="1"/>
    <col min="14827" max="14827" width="9.7109375" style="19" customWidth="1"/>
    <col min="14828" max="14830" width="8.28515625" style="19" customWidth="1"/>
    <col min="14831" max="14831" width="7.42578125" style="19" customWidth="1"/>
    <col min="14832" max="14832" width="8.7109375" style="19" customWidth="1"/>
    <col min="14833" max="15081" width="8.7109375" style="19"/>
    <col min="15082" max="15082" width="38.28515625" style="19" customWidth="1"/>
    <col min="15083" max="15083" width="9.7109375" style="19" customWidth="1"/>
    <col min="15084" max="15086" width="8.28515625" style="19" customWidth="1"/>
    <col min="15087" max="15087" width="7.42578125" style="19" customWidth="1"/>
    <col min="15088" max="15088" width="8.7109375" style="19" customWidth="1"/>
    <col min="15089" max="15337" width="8.7109375" style="19"/>
    <col min="15338" max="15338" width="38.28515625" style="19" customWidth="1"/>
    <col min="15339" max="15339" width="9.7109375" style="19" customWidth="1"/>
    <col min="15340" max="15342" width="8.28515625" style="19" customWidth="1"/>
    <col min="15343" max="15343" width="7.42578125" style="19" customWidth="1"/>
    <col min="15344" max="15344" width="8.7109375" style="19" customWidth="1"/>
    <col min="15345" max="15593" width="8.7109375" style="19"/>
    <col min="15594" max="15594" width="38.28515625" style="19" customWidth="1"/>
    <col min="15595" max="15595" width="9.7109375" style="19" customWidth="1"/>
    <col min="15596" max="15598" width="8.28515625" style="19" customWidth="1"/>
    <col min="15599" max="15599" width="7.42578125" style="19" customWidth="1"/>
    <col min="15600" max="15600" width="8.7109375" style="19" customWidth="1"/>
    <col min="15601" max="15849" width="8.7109375" style="19"/>
    <col min="15850" max="15850" width="38.28515625" style="19" customWidth="1"/>
    <col min="15851" max="15851" width="9.7109375" style="19" customWidth="1"/>
    <col min="15852" max="15854" width="8.28515625" style="19" customWidth="1"/>
    <col min="15855" max="15855" width="7.42578125" style="19" customWidth="1"/>
    <col min="15856" max="15856" width="8.7109375" style="19" customWidth="1"/>
    <col min="15857" max="16105" width="8.7109375" style="19"/>
    <col min="16106" max="16106" width="38.28515625" style="19" customWidth="1"/>
    <col min="16107" max="16107" width="9.7109375" style="19" customWidth="1"/>
    <col min="16108" max="16110" width="8.28515625" style="19" customWidth="1"/>
    <col min="16111" max="16111" width="7.42578125" style="19" customWidth="1"/>
    <col min="16112" max="16112" width="8.7109375" style="19" customWidth="1"/>
    <col min="16113" max="16384" width="8.7109375" style="19"/>
  </cols>
  <sheetData>
    <row r="2" spans="1:27" ht="13.9" customHeight="1">
      <c r="A2" s="89"/>
      <c r="B2" s="90" t="s">
        <v>0</v>
      </c>
      <c r="C2" s="90" t="s">
        <v>1</v>
      </c>
      <c r="D2" s="90" t="s">
        <v>2</v>
      </c>
      <c r="E2" s="90" t="s">
        <v>3</v>
      </c>
      <c r="F2" s="90" t="s">
        <v>4</v>
      </c>
      <c r="G2" s="90" t="s">
        <v>5</v>
      </c>
      <c r="H2" s="90" t="s">
        <v>6</v>
      </c>
      <c r="I2" s="90" t="s">
        <v>7</v>
      </c>
      <c r="J2" s="90" t="s">
        <v>8</v>
      </c>
      <c r="K2" s="90" t="s">
        <v>9</v>
      </c>
      <c r="L2" s="90" t="s">
        <v>10</v>
      </c>
      <c r="M2" s="90" t="s">
        <v>11</v>
      </c>
      <c r="N2" s="90" t="s">
        <v>12</v>
      </c>
      <c r="O2" s="90" t="s">
        <v>13</v>
      </c>
      <c r="P2" s="90" t="s">
        <v>14</v>
      </c>
      <c r="Q2" s="90" t="s">
        <v>15</v>
      </c>
      <c r="R2" s="90" t="s">
        <v>16</v>
      </c>
      <c r="S2" s="90" t="s">
        <v>17</v>
      </c>
      <c r="T2" s="90" t="s">
        <v>18</v>
      </c>
      <c r="U2" s="90" t="s">
        <v>19</v>
      </c>
      <c r="V2" s="90" t="s">
        <v>20</v>
      </c>
      <c r="W2" s="90" t="s">
        <v>21</v>
      </c>
      <c r="X2" s="90" t="s">
        <v>22</v>
      </c>
      <c r="Y2" s="90" t="s">
        <v>23</v>
      </c>
    </row>
    <row r="3" spans="1:27" ht="13.9" customHeight="1">
      <c r="A3" s="22" t="s">
        <v>77</v>
      </c>
      <c r="B3" s="13">
        <v>21.5</v>
      </c>
      <c r="C3" s="13">
        <v>34.5</v>
      </c>
      <c r="D3" s="13">
        <v>111.3</v>
      </c>
      <c r="E3" s="13">
        <f>-6.3-10.7</f>
        <v>-17</v>
      </c>
      <c r="F3" s="13">
        <v>0.30000000000000071</v>
      </c>
      <c r="G3" s="13">
        <v>1.5999999999999996</v>
      </c>
      <c r="H3" s="13">
        <f t="shared" ref="H3:H10" si="0">+I3-E3-F3-G3</f>
        <v>2.9000000000000004</v>
      </c>
      <c r="I3" s="13">
        <v>-12.2</v>
      </c>
      <c r="J3" s="13">
        <v>17.7</v>
      </c>
      <c r="K3" s="13">
        <v>24.5</v>
      </c>
      <c r="L3" s="13">
        <v>-1.9</v>
      </c>
      <c r="M3" s="13">
        <f>+'Income statement'!M18</f>
        <v>48.499999999999993</v>
      </c>
      <c r="N3" s="29">
        <f t="shared" ref="N3:N31" si="1">+M3+L3+K3+J3</f>
        <v>88.8</v>
      </c>
      <c r="O3" s="29">
        <v>45.9</v>
      </c>
      <c r="P3" s="29">
        <v>-5.5000000000000018</v>
      </c>
      <c r="Q3" s="29">
        <f>+'Income statement'!Q18</f>
        <v>43.300000000000004</v>
      </c>
      <c r="R3" s="29">
        <f>+'Income statement'!R18</f>
        <v>0.10000000000000231</v>
      </c>
      <c r="S3" s="29">
        <f>+'Income statement'!S18</f>
        <v>83.80000000000004</v>
      </c>
      <c r="T3" s="29">
        <f>+'Income statement'!T18</f>
        <v>0.20000000000000728</v>
      </c>
      <c r="U3" s="29">
        <v>15.800000000000004</v>
      </c>
      <c r="V3" s="29">
        <v>17.5</v>
      </c>
      <c r="W3" s="29">
        <v>89</v>
      </c>
      <c r="X3" s="41">
        <f t="shared" ref="X3:X13" si="2">+T3+U3+V3+W3</f>
        <v>122.50000000000001</v>
      </c>
      <c r="Y3" s="29">
        <f>+'Income statement'!Y18</f>
        <v>61.199999999999996</v>
      </c>
      <c r="AA3" s="101"/>
    </row>
    <row r="4" spans="1:27" ht="13.9" customHeight="1">
      <c r="A4" s="22" t="s">
        <v>78</v>
      </c>
      <c r="B4" s="13">
        <v>13.699999999999996</v>
      </c>
      <c r="C4" s="13">
        <v>21.300000000000004</v>
      </c>
      <c r="D4" s="13">
        <v>74.7</v>
      </c>
      <c r="E4" s="13">
        <v>14.4</v>
      </c>
      <c r="F4" s="13">
        <v>17.800000000000004</v>
      </c>
      <c r="G4" s="13">
        <v>17.799999999999997</v>
      </c>
      <c r="H4" s="13">
        <f t="shared" si="0"/>
        <v>20.900000000000006</v>
      </c>
      <c r="I4" s="13">
        <v>70.900000000000006</v>
      </c>
      <c r="J4" s="13">
        <v>15.8</v>
      </c>
      <c r="K4" s="13">
        <v>18.8</v>
      </c>
      <c r="L4" s="13">
        <v>7.4</v>
      </c>
      <c r="M4" s="13">
        <f>-'Income statement'!M7-'Income statement'!M8</f>
        <v>20.099999999999998</v>
      </c>
      <c r="N4" s="29">
        <f t="shared" si="1"/>
        <v>62.099999999999994</v>
      </c>
      <c r="O4" s="29">
        <v>19.3</v>
      </c>
      <c r="P4" s="29">
        <v>9</v>
      </c>
      <c r="Q4" s="29">
        <v>16.100000000000001</v>
      </c>
      <c r="R4" s="29">
        <v>15.7</v>
      </c>
      <c r="S4" s="29">
        <v>60.1</v>
      </c>
      <c r="T4" s="29">
        <v>15</v>
      </c>
      <c r="U4" s="29">
        <v>17.899999999999999</v>
      </c>
      <c r="V4" s="29">
        <v>23.7</v>
      </c>
      <c r="W4" s="29">
        <v>42.899999999999991</v>
      </c>
      <c r="X4" s="41">
        <f t="shared" si="2"/>
        <v>99.499999999999986</v>
      </c>
      <c r="Y4" s="29">
        <v>36.9</v>
      </c>
      <c r="AA4" s="101"/>
    </row>
    <row r="5" spans="1:27" ht="13.9" customHeight="1">
      <c r="A5" s="22" t="s">
        <v>29</v>
      </c>
      <c r="B5" s="13">
        <v>0</v>
      </c>
      <c r="C5" s="13">
        <v>0</v>
      </c>
      <c r="D5" s="13">
        <v>0</v>
      </c>
      <c r="E5" s="13">
        <v>10.7</v>
      </c>
      <c r="F5" s="13">
        <v>0</v>
      </c>
      <c r="G5" s="13">
        <v>0</v>
      </c>
      <c r="H5" s="13">
        <f t="shared" si="0"/>
        <v>2.5</v>
      </c>
      <c r="I5" s="29">
        <v>13.2</v>
      </c>
      <c r="J5" s="29">
        <v>0</v>
      </c>
      <c r="K5" s="29">
        <v>0</v>
      </c>
      <c r="L5" s="29">
        <v>0</v>
      </c>
      <c r="M5" s="29">
        <v>-13.3</v>
      </c>
      <c r="N5" s="29">
        <f t="shared" si="1"/>
        <v>-13.3</v>
      </c>
      <c r="O5" s="29">
        <v>0</v>
      </c>
      <c r="P5" s="29">
        <v>0</v>
      </c>
      <c r="Q5" s="29">
        <v>0</v>
      </c>
      <c r="R5" s="29">
        <v>0</v>
      </c>
      <c r="S5" s="29">
        <f t="shared" ref="S5:S11" si="3">+O5+P5+Q5+R5</f>
        <v>0</v>
      </c>
      <c r="T5" s="29">
        <v>0</v>
      </c>
      <c r="U5" s="29">
        <v>0</v>
      </c>
      <c r="V5" s="29">
        <v>0</v>
      </c>
      <c r="W5" s="29">
        <v>0.4</v>
      </c>
      <c r="X5" s="41">
        <f t="shared" si="2"/>
        <v>0.4</v>
      </c>
      <c r="Y5" s="29">
        <v>0</v>
      </c>
      <c r="AA5" s="101"/>
    </row>
    <row r="6" spans="1:27" ht="13.9" customHeight="1">
      <c r="A6" s="22" t="s">
        <v>79</v>
      </c>
      <c r="B6" s="13">
        <v>0</v>
      </c>
      <c r="C6" s="13">
        <v>0</v>
      </c>
      <c r="D6" s="13">
        <v>0</v>
      </c>
      <c r="E6" s="13">
        <v>1.4</v>
      </c>
      <c r="F6" s="13">
        <v>0.60000000000000009</v>
      </c>
      <c r="G6" s="13">
        <v>-0.30000000000000004</v>
      </c>
      <c r="H6" s="13">
        <f t="shared" si="0"/>
        <v>-1.3</v>
      </c>
      <c r="I6" s="13">
        <v>0.4</v>
      </c>
      <c r="J6" s="13">
        <v>-3.3</v>
      </c>
      <c r="K6" s="13">
        <v>1.4</v>
      </c>
      <c r="L6" s="13">
        <v>-0.5</v>
      </c>
      <c r="M6" s="13">
        <v>-0.1</v>
      </c>
      <c r="N6" s="29">
        <f t="shared" si="1"/>
        <v>-2.5</v>
      </c>
      <c r="O6" s="29">
        <v>19.2</v>
      </c>
      <c r="P6" s="29">
        <v>-9.1</v>
      </c>
      <c r="Q6" s="29">
        <v>-13.9</v>
      </c>
      <c r="R6" s="29">
        <v>2.2999999999999998</v>
      </c>
      <c r="S6" s="29">
        <f t="shared" si="3"/>
        <v>-1.5000000000000009</v>
      </c>
      <c r="T6" s="29">
        <v>-4.0999999999999996</v>
      </c>
      <c r="U6" s="29">
        <v>6.4</v>
      </c>
      <c r="V6" s="29">
        <v>8.3000000000000007</v>
      </c>
      <c r="W6" s="29">
        <v>-7.3000000000000016</v>
      </c>
      <c r="X6" s="41">
        <f t="shared" si="2"/>
        <v>3.3</v>
      </c>
      <c r="Y6" s="29">
        <v>1.5</v>
      </c>
      <c r="AA6" s="101"/>
    </row>
    <row r="7" spans="1:27" ht="13.9" customHeight="1">
      <c r="A7" s="22" t="s">
        <v>80</v>
      </c>
      <c r="B7" s="13">
        <v>-2.3000000000000003</v>
      </c>
      <c r="C7" s="13">
        <v>0.10000000000000009</v>
      </c>
      <c r="D7" s="29">
        <v>-2</v>
      </c>
      <c r="E7" s="13">
        <v>1.2</v>
      </c>
      <c r="F7" s="13">
        <v>-9.9999999999999867E-2</v>
      </c>
      <c r="G7" s="13">
        <v>-0.10000000000000009</v>
      </c>
      <c r="H7" s="13">
        <f t="shared" si="0"/>
        <v>-0.4</v>
      </c>
      <c r="I7" s="29">
        <v>0.6</v>
      </c>
      <c r="J7" s="29">
        <v>0.2</v>
      </c>
      <c r="K7" s="29">
        <v>-0.8</v>
      </c>
      <c r="L7" s="29">
        <v>0.2</v>
      </c>
      <c r="M7" s="29">
        <v>0.9</v>
      </c>
      <c r="N7" s="29">
        <f t="shared" si="1"/>
        <v>0.5</v>
      </c>
      <c r="O7" s="29">
        <v>0.1</v>
      </c>
      <c r="P7" s="29">
        <v>1.1000000000000001</v>
      </c>
      <c r="Q7" s="29">
        <v>1.5</v>
      </c>
      <c r="R7" s="29">
        <v>-0.6</v>
      </c>
      <c r="S7" s="29">
        <v>2.1</v>
      </c>
      <c r="T7" s="29">
        <v>-0.3</v>
      </c>
      <c r="U7" s="29">
        <v>-1.1000000000000001</v>
      </c>
      <c r="V7" s="29">
        <v>1.1000000000000001</v>
      </c>
      <c r="W7" s="29">
        <v>0.30000000000000004</v>
      </c>
      <c r="X7" s="41">
        <f t="shared" si="2"/>
        <v>0</v>
      </c>
      <c r="Y7" s="29">
        <v>1.3</v>
      </c>
      <c r="AA7" s="101"/>
    </row>
    <row r="8" spans="1:27" ht="13.9" customHeight="1">
      <c r="A8" s="22" t="s">
        <v>81</v>
      </c>
      <c r="B8" s="13">
        <v>-0.60000000000000009</v>
      </c>
      <c r="C8" s="13">
        <v>-0.39999999999999991</v>
      </c>
      <c r="D8" s="13">
        <v>-2</v>
      </c>
      <c r="E8" s="13">
        <v>-0.4</v>
      </c>
      <c r="F8" s="13">
        <v>-0.19999999999999996</v>
      </c>
      <c r="G8" s="13">
        <v>-9.9999999999999978E-2</v>
      </c>
      <c r="H8" s="13">
        <f t="shared" si="0"/>
        <v>-0.20000000000000007</v>
      </c>
      <c r="I8" s="13">
        <v>-0.9</v>
      </c>
      <c r="J8" s="13">
        <v>-0.2</v>
      </c>
      <c r="K8" s="13">
        <v>-0.2</v>
      </c>
      <c r="L8" s="13">
        <v>-0.2</v>
      </c>
      <c r="M8" s="13">
        <v>-0.1</v>
      </c>
      <c r="N8" s="13">
        <f t="shared" si="1"/>
        <v>-0.7</v>
      </c>
      <c r="O8" s="13">
        <v>-0.1</v>
      </c>
      <c r="P8" s="13">
        <v>-0.1</v>
      </c>
      <c r="Q8" s="13">
        <v>-0.3</v>
      </c>
      <c r="R8" s="13">
        <v>-0.7</v>
      </c>
      <c r="S8" s="29">
        <f t="shared" si="3"/>
        <v>-1.2</v>
      </c>
      <c r="T8" s="13">
        <v>0.1</v>
      </c>
      <c r="U8" s="13">
        <v>0.7</v>
      </c>
      <c r="V8" s="13">
        <v>2.5</v>
      </c>
      <c r="W8" s="29">
        <v>-6.5</v>
      </c>
      <c r="X8" s="41">
        <f t="shared" si="2"/>
        <v>-3.2</v>
      </c>
      <c r="Y8" s="13">
        <v>1.4</v>
      </c>
      <c r="AA8" s="101"/>
    </row>
    <row r="9" spans="1:27" ht="13.9" customHeight="1">
      <c r="A9" s="22" t="s">
        <v>82</v>
      </c>
      <c r="B9" s="13">
        <v>0.4</v>
      </c>
      <c r="C9" s="13">
        <v>-0.60000000000000009</v>
      </c>
      <c r="D9" s="29">
        <v>0.2</v>
      </c>
      <c r="E9" s="13">
        <v>0.1</v>
      </c>
      <c r="F9" s="13">
        <v>0.19999999999999998</v>
      </c>
      <c r="G9" s="13">
        <v>0.10000000000000006</v>
      </c>
      <c r="H9" s="13">
        <f t="shared" si="0"/>
        <v>9.9999999999999978E-2</v>
      </c>
      <c r="I9" s="29">
        <v>0.5</v>
      </c>
      <c r="J9" s="29">
        <v>0.1</v>
      </c>
      <c r="K9" s="29">
        <v>0.2</v>
      </c>
      <c r="L9" s="29">
        <v>0.2</v>
      </c>
      <c r="M9" s="29">
        <v>0.2</v>
      </c>
      <c r="N9" s="29">
        <f t="shared" si="1"/>
        <v>0.70000000000000007</v>
      </c>
      <c r="O9" s="29">
        <v>0.2</v>
      </c>
      <c r="P9" s="29">
        <v>0.2</v>
      </c>
      <c r="Q9" s="29">
        <v>0.2</v>
      </c>
      <c r="R9" s="29">
        <v>0.9</v>
      </c>
      <c r="S9" s="29">
        <v>1.5</v>
      </c>
      <c r="T9" s="29">
        <v>0.4</v>
      </c>
      <c r="U9" s="29">
        <v>1.1000000000000001</v>
      </c>
      <c r="V9" s="29">
        <v>0.8</v>
      </c>
      <c r="W9" s="29">
        <v>2.9</v>
      </c>
      <c r="X9" s="41">
        <v>5.2</v>
      </c>
      <c r="Y9" s="29">
        <v>2.5</v>
      </c>
      <c r="AA9" s="101"/>
    </row>
    <row r="10" spans="1:27" ht="13.9" customHeight="1">
      <c r="A10" s="22" t="s">
        <v>83</v>
      </c>
      <c r="B10" s="13">
        <v>0</v>
      </c>
      <c r="C10" s="13">
        <v>0</v>
      </c>
      <c r="D10" s="13">
        <v>-0.3</v>
      </c>
      <c r="E10" s="13">
        <v>1.2</v>
      </c>
      <c r="F10" s="13">
        <v>0</v>
      </c>
      <c r="G10" s="13">
        <v>0</v>
      </c>
      <c r="H10" s="13">
        <f t="shared" si="0"/>
        <v>0</v>
      </c>
      <c r="I10" s="13">
        <v>1.2</v>
      </c>
      <c r="J10" s="13">
        <v>0</v>
      </c>
      <c r="K10" s="13">
        <v>0</v>
      </c>
      <c r="L10" s="13">
        <v>0</v>
      </c>
      <c r="M10" s="13">
        <v>0</v>
      </c>
      <c r="N10" s="13">
        <f t="shared" si="1"/>
        <v>0</v>
      </c>
      <c r="O10" s="13">
        <v>0</v>
      </c>
      <c r="P10" s="13">
        <v>0</v>
      </c>
      <c r="Q10" s="13">
        <v>0</v>
      </c>
      <c r="R10" s="13">
        <v>0</v>
      </c>
      <c r="S10" s="29">
        <f t="shared" si="3"/>
        <v>0</v>
      </c>
      <c r="T10" s="13">
        <v>0</v>
      </c>
      <c r="U10" s="13">
        <v>0</v>
      </c>
      <c r="V10" s="13">
        <v>0</v>
      </c>
      <c r="W10" s="29">
        <v>0</v>
      </c>
      <c r="X10" s="41">
        <f t="shared" si="2"/>
        <v>0</v>
      </c>
      <c r="Y10" s="13">
        <v>-0.2</v>
      </c>
      <c r="AA10" s="101"/>
    </row>
    <row r="11" spans="1:27" ht="13.9" customHeight="1">
      <c r="A11" s="22" t="s">
        <v>84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0.2</v>
      </c>
      <c r="M11" s="13">
        <v>0.2</v>
      </c>
      <c r="N11" s="13">
        <f t="shared" si="1"/>
        <v>0.4</v>
      </c>
      <c r="O11" s="13">
        <v>0.2</v>
      </c>
      <c r="P11" s="13">
        <v>0.3</v>
      </c>
      <c r="Q11" s="13">
        <v>0.3</v>
      </c>
      <c r="R11" s="13">
        <v>0.3</v>
      </c>
      <c r="S11" s="29">
        <f t="shared" si="3"/>
        <v>1.1000000000000001</v>
      </c>
      <c r="T11" s="13">
        <v>0.3</v>
      </c>
      <c r="U11" s="13">
        <v>0.3</v>
      </c>
      <c r="V11" s="13">
        <v>0.4</v>
      </c>
      <c r="W11" s="29">
        <v>0.29999999999999993</v>
      </c>
      <c r="X11" s="41">
        <f t="shared" si="2"/>
        <v>1.2999999999999998</v>
      </c>
      <c r="Y11" s="13">
        <v>-0.1</v>
      </c>
      <c r="AA11" s="101"/>
    </row>
    <row r="12" spans="1:27" ht="13.9" customHeight="1">
      <c r="A12" s="22" t="s">
        <v>85</v>
      </c>
      <c r="B12" s="13">
        <v>40.5</v>
      </c>
      <c r="C12" s="13">
        <v>-5.3000000000000043</v>
      </c>
      <c r="D12" s="13">
        <v>57.8</v>
      </c>
      <c r="E12" s="13">
        <v>44.3</v>
      </c>
      <c r="F12" s="13">
        <v>-36.599999999999994</v>
      </c>
      <c r="G12" s="13">
        <v>14.599999999999998</v>
      </c>
      <c r="H12" s="13">
        <f>+I12-E12-F12-G12</f>
        <v>-19.8</v>
      </c>
      <c r="I12" s="13">
        <v>2.5</v>
      </c>
      <c r="J12" s="13">
        <f>-8.9-0.1</f>
        <v>-9</v>
      </c>
      <c r="K12" s="13">
        <v>27.4</v>
      </c>
      <c r="L12" s="13">
        <v>23.8</v>
      </c>
      <c r="M12" s="13">
        <f>-35+0.3</f>
        <v>-34.700000000000003</v>
      </c>
      <c r="N12" s="13">
        <f t="shared" si="1"/>
        <v>7.4999999999999964</v>
      </c>
      <c r="O12" s="13">
        <v>-62.5</v>
      </c>
      <c r="P12" s="13">
        <v>86.8</v>
      </c>
      <c r="Q12" s="13">
        <v>4</v>
      </c>
      <c r="R12" s="13">
        <v>30.7</v>
      </c>
      <c r="S12" s="29">
        <v>59</v>
      </c>
      <c r="T12" s="13">
        <v>6.5</v>
      </c>
      <c r="U12" s="13">
        <v>26.6</v>
      </c>
      <c r="V12" s="13">
        <v>-27</v>
      </c>
      <c r="W12" s="29">
        <v>-7.2000000000000028</v>
      </c>
      <c r="X12" s="41">
        <v>-1.1000000000000001</v>
      </c>
      <c r="Y12" s="13">
        <v>-66.400000000000006</v>
      </c>
      <c r="AA12" s="101"/>
    </row>
    <row r="13" spans="1:27" ht="13.9" customHeight="1">
      <c r="A13" s="22" t="s">
        <v>86</v>
      </c>
      <c r="B13" s="13">
        <v>-9.3000000000000007</v>
      </c>
      <c r="C13" s="13">
        <v>-8.1999999999999993</v>
      </c>
      <c r="D13" s="13">
        <v>-36.5</v>
      </c>
      <c r="E13" s="13">
        <v>-6.1</v>
      </c>
      <c r="F13" s="13">
        <v>-5.5</v>
      </c>
      <c r="G13" s="13">
        <v>-7.9</v>
      </c>
      <c r="H13" s="13">
        <f>+I13-E13-F13-G13</f>
        <v>-7.2000000000000011</v>
      </c>
      <c r="I13" s="13">
        <v>-26.7</v>
      </c>
      <c r="J13" s="13">
        <v>-9.6</v>
      </c>
      <c r="K13" s="13">
        <v>-8.5</v>
      </c>
      <c r="L13" s="13">
        <v>-7.7</v>
      </c>
      <c r="M13" s="13">
        <v>-8.8000000000000007</v>
      </c>
      <c r="N13" s="13">
        <f t="shared" si="1"/>
        <v>-34.6</v>
      </c>
      <c r="O13" s="13">
        <v>-9.8000000000000007</v>
      </c>
      <c r="P13" s="13">
        <v>-10.199999999999999</v>
      </c>
      <c r="Q13" s="13">
        <v>-9</v>
      </c>
      <c r="R13" s="13">
        <v>-7.4</v>
      </c>
      <c r="S13" s="29">
        <v>-36.4</v>
      </c>
      <c r="T13" s="13">
        <v>-4.7</v>
      </c>
      <c r="U13" s="13">
        <v>-9.8000000000000007</v>
      </c>
      <c r="V13" s="13">
        <v>-16.899999999999999</v>
      </c>
      <c r="W13" s="29">
        <v>-15.499999999999993</v>
      </c>
      <c r="X13" s="41">
        <f t="shared" si="2"/>
        <v>-46.899999999999991</v>
      </c>
      <c r="Y13" s="13">
        <v>-16.3</v>
      </c>
      <c r="AA13" s="101"/>
    </row>
    <row r="14" spans="1:27" ht="13.9" customHeight="1">
      <c r="A14" s="23" t="s">
        <v>87</v>
      </c>
      <c r="B14" s="70">
        <v>63.899999999999991</v>
      </c>
      <c r="C14" s="70">
        <v>41.400000000000006</v>
      </c>
      <c r="D14" s="70">
        <f>SUM(D3:D13)</f>
        <v>203.2</v>
      </c>
      <c r="E14" s="70">
        <f>SUM(E3:E13)</f>
        <v>49.79999999999999</v>
      </c>
      <c r="F14" s="70">
        <v>-23.499999999999989</v>
      </c>
      <c r="G14" s="70">
        <v>25.699999999999996</v>
      </c>
      <c r="H14" s="56">
        <f t="shared" ref="H14:H31" si="4">+I14-E14-F14-G14</f>
        <v>-2.4999999999999964</v>
      </c>
      <c r="I14" s="81">
        <f>SUM(I3:I13)</f>
        <v>49.5</v>
      </c>
      <c r="J14" s="81">
        <f>SUM(J3:J13)</f>
        <v>11.700000000000001</v>
      </c>
      <c r="K14" s="81">
        <f>SUM(K3:K13)</f>
        <v>62.8</v>
      </c>
      <c r="L14" s="81">
        <f>SUM(L3:L13)</f>
        <v>21.500000000000004</v>
      </c>
      <c r="M14" s="81">
        <f>SUM(M3:M13)</f>
        <v>12.899999999999995</v>
      </c>
      <c r="N14" s="81">
        <f t="shared" si="1"/>
        <v>108.89999999999999</v>
      </c>
      <c r="O14" s="81">
        <v>12.500000000000011</v>
      </c>
      <c r="P14" s="81">
        <v>72.499999999999986</v>
      </c>
      <c r="Q14" s="81">
        <f>SUM(Q3:Q13)</f>
        <v>42.20000000000001</v>
      </c>
      <c r="R14" s="81">
        <f t="shared" ref="R14:S14" si="5">SUM(R3:R13)</f>
        <v>41.300000000000004</v>
      </c>
      <c r="S14" s="81">
        <f t="shared" si="5"/>
        <v>168.50000000000003</v>
      </c>
      <c r="T14" s="81">
        <f t="shared" ref="T14:X14" si="6">SUM(T3:T13)</f>
        <v>13.400000000000009</v>
      </c>
      <c r="U14" s="81">
        <v>57.900000000000006</v>
      </c>
      <c r="V14" s="81">
        <v>10.399999999999999</v>
      </c>
      <c r="W14" s="81">
        <f>SUM(W3:W13)</f>
        <v>99.299999999999983</v>
      </c>
      <c r="X14" s="57">
        <f t="shared" si="6"/>
        <v>181.00000000000006</v>
      </c>
      <c r="Y14" s="81">
        <f t="shared" ref="Y14" si="7">SUM(Y3:Y13)</f>
        <v>21.799999999999994</v>
      </c>
      <c r="AA14" s="101"/>
    </row>
    <row r="15" spans="1:27" ht="13.9" customHeight="1">
      <c r="A15" s="24"/>
      <c r="B15" s="71"/>
      <c r="C15" s="71"/>
      <c r="D15" s="71"/>
      <c r="E15" s="71"/>
      <c r="F15" s="71"/>
      <c r="G15" s="71"/>
      <c r="H15" s="82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48"/>
      <c r="Y15" s="83"/>
      <c r="AA15" s="101"/>
    </row>
    <row r="16" spans="1:27" ht="13.9" customHeight="1">
      <c r="A16" s="22" t="s">
        <v>88</v>
      </c>
      <c r="B16" s="13">
        <v>-72.5</v>
      </c>
      <c r="C16" s="13">
        <v>-47.2</v>
      </c>
      <c r="D16" s="13">
        <v>-152.5</v>
      </c>
      <c r="E16" s="13">
        <v>-49.4</v>
      </c>
      <c r="F16" s="13">
        <v>-9.8000000000000043</v>
      </c>
      <c r="G16" s="13">
        <v>-0.79999999999999716</v>
      </c>
      <c r="H16" s="13">
        <f t="shared" si="4"/>
        <v>-14.5</v>
      </c>
      <c r="I16" s="13">
        <f>-49.6-24.9</f>
        <v>-74.5</v>
      </c>
      <c r="J16" s="13">
        <v>-13.4</v>
      </c>
      <c r="K16" s="13">
        <v>-23.3</v>
      </c>
      <c r="L16" s="13">
        <v>-59.7</v>
      </c>
      <c r="M16" s="13">
        <f>-40.7-80.5+96.4</f>
        <v>-24.799999999999997</v>
      </c>
      <c r="N16" s="13">
        <f t="shared" si="1"/>
        <v>-121.2</v>
      </c>
      <c r="O16" s="13">
        <v>-44.8</v>
      </c>
      <c r="P16" s="13">
        <v>-52.1</v>
      </c>
      <c r="Q16" s="13">
        <v>-65.400000000000006</v>
      </c>
      <c r="R16" s="13">
        <v>-77.599999999999994</v>
      </c>
      <c r="S16" s="29">
        <f>+O16+P16+Q16+R16</f>
        <v>-239.9</v>
      </c>
      <c r="T16" s="13">
        <v>-75.099999999999994</v>
      </c>
      <c r="U16" s="13">
        <v>-77.5</v>
      </c>
      <c r="V16" s="13">
        <v>-104.5</v>
      </c>
      <c r="W16" s="13">
        <v>-77.899999999999977</v>
      </c>
      <c r="X16" s="41">
        <v>-335</v>
      </c>
      <c r="Y16" s="13">
        <v>-82.3</v>
      </c>
      <c r="AA16" s="101"/>
    </row>
    <row r="17" spans="1:27" ht="13.9" hidden="1" customHeight="1">
      <c r="A17" s="22" t="s">
        <v>89</v>
      </c>
      <c r="B17" s="13">
        <v>0</v>
      </c>
      <c r="C17" s="13">
        <v>15.899999999999999</v>
      </c>
      <c r="D17" s="13">
        <v>44.5</v>
      </c>
      <c r="E17" s="13">
        <v>0</v>
      </c>
      <c r="F17" s="13">
        <v>0</v>
      </c>
      <c r="G17" s="13">
        <v>0</v>
      </c>
      <c r="H17" s="13">
        <f t="shared" si="4"/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f t="shared" si="1"/>
        <v>0</v>
      </c>
      <c r="O17" s="13">
        <v>0</v>
      </c>
      <c r="P17" s="13">
        <v>0</v>
      </c>
      <c r="Q17" s="13">
        <v>0</v>
      </c>
      <c r="R17" s="13">
        <v>0</v>
      </c>
      <c r="S17" s="29">
        <f>+O17+P17+Q17+R17</f>
        <v>0</v>
      </c>
      <c r="T17" s="13">
        <v>0</v>
      </c>
      <c r="U17" s="13">
        <v>0</v>
      </c>
      <c r="V17" s="13"/>
      <c r="W17" s="13"/>
      <c r="X17" s="41">
        <f t="shared" ref="X17:X18" si="8">+T17+U17+V17+W17</f>
        <v>0</v>
      </c>
      <c r="Y17" s="13">
        <v>0</v>
      </c>
      <c r="AA17" s="101"/>
    </row>
    <row r="18" spans="1:27" ht="13.9" customHeight="1">
      <c r="A18" s="22" t="s">
        <v>90</v>
      </c>
      <c r="B18" s="13">
        <v>0.60000000000000009</v>
      </c>
      <c r="C18" s="13">
        <v>0.39999999999999991</v>
      </c>
      <c r="D18" s="29">
        <v>2</v>
      </c>
      <c r="E18" s="13">
        <v>0.4</v>
      </c>
      <c r="F18" s="13">
        <v>0.19999999999999996</v>
      </c>
      <c r="G18" s="13">
        <v>9.9999999999999978E-2</v>
      </c>
      <c r="H18" s="13">
        <f t="shared" si="4"/>
        <v>0.20000000000000007</v>
      </c>
      <c r="I18" s="29">
        <v>0.9</v>
      </c>
      <c r="J18" s="29">
        <v>0.2</v>
      </c>
      <c r="K18" s="29">
        <v>0.2</v>
      </c>
      <c r="L18" s="29">
        <v>0.2</v>
      </c>
      <c r="M18" s="29">
        <v>0.1</v>
      </c>
      <c r="N18" s="29">
        <f t="shared" si="1"/>
        <v>0.7</v>
      </c>
      <c r="O18" s="13">
        <v>0.1</v>
      </c>
      <c r="P18" s="13">
        <v>0</v>
      </c>
      <c r="Q18" s="29">
        <v>0.3</v>
      </c>
      <c r="R18" s="29">
        <v>1.3</v>
      </c>
      <c r="S18" s="29">
        <v>1.7</v>
      </c>
      <c r="T18" s="13">
        <v>1.6</v>
      </c>
      <c r="U18" s="13">
        <v>2</v>
      </c>
      <c r="V18" s="13">
        <v>2.5</v>
      </c>
      <c r="W18" s="13">
        <v>2.2000000000000002</v>
      </c>
      <c r="X18" s="41">
        <f t="shared" si="8"/>
        <v>8.3000000000000007</v>
      </c>
      <c r="Y18" s="13">
        <v>1.5</v>
      </c>
      <c r="AA18" s="101"/>
    </row>
    <row r="19" spans="1:27" ht="13.9" customHeight="1">
      <c r="A19" s="23" t="s">
        <v>91</v>
      </c>
      <c r="B19" s="56">
        <v>-71.900000000000006</v>
      </c>
      <c r="C19" s="56">
        <v>-30.900000000000006</v>
      </c>
      <c r="D19" s="56">
        <f>SUM(D16:D18)</f>
        <v>-106</v>
      </c>
      <c r="E19" s="56">
        <f t="shared" ref="E19:I19" si="9">SUM(E16:E18)</f>
        <v>-49</v>
      </c>
      <c r="F19" s="56">
        <v>-9.600000000000005</v>
      </c>
      <c r="G19" s="56">
        <v>-0.69999999999999718</v>
      </c>
      <c r="H19" s="56">
        <f t="shared" si="4"/>
        <v>-14.299999999999992</v>
      </c>
      <c r="I19" s="78">
        <f t="shared" si="9"/>
        <v>-73.599999999999994</v>
      </c>
      <c r="J19" s="78">
        <f t="shared" ref="J19:K19" si="10">SUM(J16:J18)</f>
        <v>-13.200000000000001</v>
      </c>
      <c r="K19" s="78">
        <f t="shared" si="10"/>
        <v>-23.1</v>
      </c>
      <c r="L19" s="78">
        <f t="shared" ref="L19:M19" si="11">SUM(L16:L18)</f>
        <v>-59.5</v>
      </c>
      <c r="M19" s="78">
        <f t="shared" si="11"/>
        <v>-24.699999999999996</v>
      </c>
      <c r="N19" s="78">
        <f t="shared" si="1"/>
        <v>-120.49999999999999</v>
      </c>
      <c r="O19" s="78">
        <v>-44.699999999999996</v>
      </c>
      <c r="P19" s="78">
        <v>-52.1</v>
      </c>
      <c r="Q19" s="78">
        <f t="shared" ref="Q19:S19" si="12">SUM(Q16:Q18)</f>
        <v>-65.100000000000009</v>
      </c>
      <c r="R19" s="78">
        <f t="shared" si="12"/>
        <v>-76.3</v>
      </c>
      <c r="S19" s="78">
        <f t="shared" si="12"/>
        <v>-238.20000000000002</v>
      </c>
      <c r="T19" s="78">
        <f t="shared" ref="T19:X19" si="13">SUM(T16:T18)</f>
        <v>-73.5</v>
      </c>
      <c r="U19" s="78">
        <v>-75.5</v>
      </c>
      <c r="V19" s="78">
        <v>-102</v>
      </c>
      <c r="W19" s="78">
        <f>SUM(W16:W18)</f>
        <v>-75.699999999999974</v>
      </c>
      <c r="X19" s="15">
        <f t="shared" si="13"/>
        <v>-326.7</v>
      </c>
      <c r="Y19" s="78">
        <f t="shared" ref="Y19" si="14">SUM(Y16:Y18)</f>
        <v>-80.8</v>
      </c>
      <c r="AA19" s="101"/>
    </row>
    <row r="20" spans="1:27" ht="13.9" customHeight="1">
      <c r="A20" s="24"/>
      <c r="B20" s="71"/>
      <c r="C20" s="71"/>
      <c r="D20" s="71"/>
      <c r="E20" s="71"/>
      <c r="F20" s="71"/>
      <c r="G20" s="71"/>
      <c r="H20" s="82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48"/>
      <c r="Y20" s="83"/>
      <c r="AA20" s="101"/>
    </row>
    <row r="21" spans="1:27" ht="13.9" customHeight="1">
      <c r="A21" s="22" t="s">
        <v>92</v>
      </c>
      <c r="B21" s="13">
        <v>3.0999999999999943</v>
      </c>
      <c r="C21" s="13">
        <v>-8.0999999999999979</v>
      </c>
      <c r="D21" s="13">
        <v>30.2</v>
      </c>
      <c r="E21" s="13">
        <v>0</v>
      </c>
      <c r="F21" s="13">
        <v>0</v>
      </c>
      <c r="G21" s="13">
        <v>0</v>
      </c>
      <c r="H21" s="13">
        <f t="shared" si="4"/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f t="shared" si="1"/>
        <v>0</v>
      </c>
      <c r="O21" s="13">
        <v>0</v>
      </c>
      <c r="P21" s="13">
        <v>0</v>
      </c>
      <c r="Q21" s="13">
        <v>100</v>
      </c>
      <c r="R21" s="13">
        <v>71</v>
      </c>
      <c r="S21" s="29">
        <f t="shared" ref="S21:S28" si="15">+O21+P21+Q21+R21</f>
        <v>171</v>
      </c>
      <c r="T21" s="13">
        <v>29</v>
      </c>
      <c r="U21" s="13">
        <v>100</v>
      </c>
      <c r="V21" s="13">
        <v>80</v>
      </c>
      <c r="W21" s="13">
        <v>0</v>
      </c>
      <c r="X21" s="41">
        <f t="shared" ref="X21:X25" si="16">+T21+U21+V21+W21</f>
        <v>209</v>
      </c>
      <c r="Y21" s="13">
        <v>40</v>
      </c>
      <c r="AA21" s="101"/>
    </row>
    <row r="22" spans="1:27" ht="13.9" hidden="1" customHeight="1">
      <c r="A22" s="22" t="s">
        <v>93</v>
      </c>
      <c r="B22" s="13">
        <v>0</v>
      </c>
      <c r="C22" s="13">
        <v>0</v>
      </c>
      <c r="D22" s="13">
        <v>-28.6</v>
      </c>
      <c r="E22" s="13">
        <v>-27.5</v>
      </c>
      <c r="F22" s="13">
        <v>0</v>
      </c>
      <c r="G22" s="13">
        <v>0</v>
      </c>
      <c r="H22" s="13">
        <f t="shared" si="4"/>
        <v>0</v>
      </c>
      <c r="I22" s="13">
        <v>-27.5</v>
      </c>
      <c r="J22" s="13">
        <v>0</v>
      </c>
      <c r="K22" s="13">
        <v>0</v>
      </c>
      <c r="L22" s="13">
        <v>0</v>
      </c>
      <c r="M22" s="13">
        <v>0</v>
      </c>
      <c r="N22" s="13">
        <f t="shared" si="1"/>
        <v>0</v>
      </c>
      <c r="O22" s="13">
        <v>0</v>
      </c>
      <c r="P22" s="13">
        <v>0</v>
      </c>
      <c r="Q22" s="13">
        <v>0</v>
      </c>
      <c r="R22" s="13">
        <v>0</v>
      </c>
      <c r="S22" s="29">
        <f t="shared" si="15"/>
        <v>0</v>
      </c>
      <c r="T22" s="13">
        <v>0</v>
      </c>
      <c r="U22" s="13">
        <v>0</v>
      </c>
      <c r="V22" s="13">
        <v>0</v>
      </c>
      <c r="W22" s="13"/>
      <c r="X22" s="41">
        <f t="shared" si="16"/>
        <v>0</v>
      </c>
      <c r="Y22" s="13">
        <v>0</v>
      </c>
      <c r="AA22" s="101"/>
    </row>
    <row r="23" spans="1:27" ht="13.9" customHeight="1">
      <c r="A23" s="22" t="s">
        <v>94</v>
      </c>
      <c r="B23" s="13">
        <v>0</v>
      </c>
      <c r="C23" s="13">
        <v>0</v>
      </c>
      <c r="D23" s="29">
        <v>0</v>
      </c>
      <c r="E23" s="13">
        <v>122.8</v>
      </c>
      <c r="F23" s="13">
        <v>0</v>
      </c>
      <c r="G23" s="13">
        <v>0</v>
      </c>
      <c r="H23" s="13">
        <f t="shared" si="4"/>
        <v>0</v>
      </c>
      <c r="I23" s="29">
        <v>122.8</v>
      </c>
      <c r="J23" s="29">
        <v>75</v>
      </c>
      <c r="K23" s="29">
        <v>0</v>
      </c>
      <c r="L23" s="29">
        <v>0</v>
      </c>
      <c r="M23" s="29">
        <v>0</v>
      </c>
      <c r="N23" s="29">
        <f t="shared" si="1"/>
        <v>75</v>
      </c>
      <c r="O23" s="29">
        <v>0</v>
      </c>
      <c r="P23" s="29">
        <v>0</v>
      </c>
      <c r="Q23" s="29">
        <v>0</v>
      </c>
      <c r="R23" s="29">
        <v>0</v>
      </c>
      <c r="S23" s="29">
        <f t="shared" si="15"/>
        <v>0</v>
      </c>
      <c r="T23" s="29">
        <v>0</v>
      </c>
      <c r="U23" s="29">
        <v>0</v>
      </c>
      <c r="V23" s="29">
        <v>0</v>
      </c>
      <c r="W23" s="29">
        <v>0</v>
      </c>
      <c r="X23" s="41">
        <f t="shared" si="16"/>
        <v>0</v>
      </c>
      <c r="Y23" s="29">
        <v>0</v>
      </c>
      <c r="AA23" s="101"/>
    </row>
    <row r="24" spans="1:27" ht="13.9" customHeight="1">
      <c r="A24" s="22" t="s">
        <v>95</v>
      </c>
      <c r="B24" s="13">
        <v>0</v>
      </c>
      <c r="C24" s="13">
        <v>0</v>
      </c>
      <c r="D24" s="29">
        <v>0</v>
      </c>
      <c r="E24" s="13">
        <v>-1.5</v>
      </c>
      <c r="F24" s="13">
        <v>0.10000000000000009</v>
      </c>
      <c r="G24" s="13">
        <v>-0.20000000000000018</v>
      </c>
      <c r="H24" s="84">
        <v>0</v>
      </c>
      <c r="I24" s="29">
        <f>3.7-5.3</f>
        <v>-1.5999999999999996</v>
      </c>
      <c r="J24" s="29">
        <f>-1.5+0.1</f>
        <v>-1.4</v>
      </c>
      <c r="K24" s="29">
        <v>0</v>
      </c>
      <c r="L24" s="29">
        <v>0</v>
      </c>
      <c r="M24" s="29">
        <v>0</v>
      </c>
      <c r="N24" s="29">
        <f t="shared" si="1"/>
        <v>-1.4</v>
      </c>
      <c r="O24" s="29">
        <v>0</v>
      </c>
      <c r="P24" s="29">
        <v>0</v>
      </c>
      <c r="Q24" s="29">
        <v>0</v>
      </c>
      <c r="R24" s="29">
        <v>0</v>
      </c>
      <c r="S24" s="29">
        <f t="shared" si="15"/>
        <v>0</v>
      </c>
      <c r="T24" s="29">
        <v>0</v>
      </c>
      <c r="U24" s="29">
        <v>0</v>
      </c>
      <c r="V24" s="29">
        <v>0</v>
      </c>
      <c r="W24" s="29">
        <v>0</v>
      </c>
      <c r="X24" s="41">
        <f t="shared" si="16"/>
        <v>0</v>
      </c>
      <c r="Y24" s="29">
        <v>0</v>
      </c>
      <c r="AA24" s="101"/>
    </row>
    <row r="25" spans="1:27" ht="13.9" customHeight="1">
      <c r="A25" s="22" t="s">
        <v>96</v>
      </c>
      <c r="B25" s="96"/>
      <c r="C25" s="96"/>
      <c r="D25" s="97"/>
      <c r="E25" s="13">
        <v>0</v>
      </c>
      <c r="F25" s="13">
        <v>0</v>
      </c>
      <c r="G25" s="13">
        <v>0</v>
      </c>
      <c r="H25" s="84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f t="shared" ref="N25" si="17">+M25+L25+K25+J25</f>
        <v>0</v>
      </c>
      <c r="O25" s="13">
        <v>0</v>
      </c>
      <c r="P25" s="13">
        <v>0</v>
      </c>
      <c r="Q25" s="13">
        <v>0</v>
      </c>
      <c r="R25" s="13">
        <v>-6.3</v>
      </c>
      <c r="S25" s="29">
        <v>-6.3</v>
      </c>
      <c r="T25" s="29">
        <v>-1.4</v>
      </c>
      <c r="U25" s="29">
        <v>-1.1000000000000001</v>
      </c>
      <c r="V25" s="29">
        <v>-0.2</v>
      </c>
      <c r="W25" s="29">
        <v>0</v>
      </c>
      <c r="X25" s="41">
        <f t="shared" si="16"/>
        <v>-2.7</v>
      </c>
      <c r="Y25" s="29">
        <v>0</v>
      </c>
      <c r="AA25" s="101"/>
    </row>
    <row r="26" spans="1:27" ht="13.9" customHeight="1">
      <c r="A26" s="22" t="s">
        <v>97</v>
      </c>
      <c r="B26" s="13"/>
      <c r="C26" s="13"/>
      <c r="D26" s="29"/>
      <c r="E26" s="13">
        <v>0</v>
      </c>
      <c r="F26" s="13">
        <v>0</v>
      </c>
      <c r="G26" s="13">
        <v>0</v>
      </c>
      <c r="H26" s="84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-5.9</v>
      </c>
      <c r="R26" s="29">
        <v>2.4</v>
      </c>
      <c r="S26" s="29">
        <v>-3.5</v>
      </c>
      <c r="T26" s="29">
        <v>-3.8000000000000003</v>
      </c>
      <c r="U26" s="29">
        <v>-5.9</v>
      </c>
      <c r="V26" s="29">
        <v>-10.8</v>
      </c>
      <c r="W26" s="29">
        <v>-8.4</v>
      </c>
      <c r="X26" s="41">
        <f>+T26+U26+V26+W26-0.1</f>
        <v>-29</v>
      </c>
      <c r="Y26" s="29">
        <v>-12.5</v>
      </c>
      <c r="AA26" s="101"/>
    </row>
    <row r="27" spans="1:27" ht="13.9" customHeight="1">
      <c r="A27" s="22" t="s">
        <v>98</v>
      </c>
      <c r="B27" s="13">
        <v>-7.0000000000000018</v>
      </c>
      <c r="C27" s="13">
        <v>-6.7999999999999972</v>
      </c>
      <c r="D27" s="13">
        <v>-27.4</v>
      </c>
      <c r="E27" s="13">
        <v>-7.3</v>
      </c>
      <c r="F27" s="13">
        <v>-7.7</v>
      </c>
      <c r="G27" s="13">
        <v>-7.1000000000000005</v>
      </c>
      <c r="H27" s="13">
        <f t="shared" si="4"/>
        <v>-7.8999999999999995</v>
      </c>
      <c r="I27" s="13">
        <v>-30</v>
      </c>
      <c r="J27" s="13">
        <v>-7.9</v>
      </c>
      <c r="K27" s="13">
        <v>-8</v>
      </c>
      <c r="L27" s="13">
        <v>-7.9</v>
      </c>
      <c r="M27" s="13">
        <v>-7.9</v>
      </c>
      <c r="N27" s="13">
        <f t="shared" si="1"/>
        <v>-31.700000000000003</v>
      </c>
      <c r="O27" s="13">
        <v>-7.9</v>
      </c>
      <c r="P27" s="13">
        <v>-7.9</v>
      </c>
      <c r="Q27" s="13">
        <v>-7.9</v>
      </c>
      <c r="R27" s="13">
        <v>-7.9</v>
      </c>
      <c r="S27" s="29">
        <v>-31.6</v>
      </c>
      <c r="T27" s="13">
        <v>-8.1</v>
      </c>
      <c r="U27" s="13">
        <v>-8.3000000000000007</v>
      </c>
      <c r="V27" s="13">
        <v>-13.2</v>
      </c>
      <c r="W27" s="13">
        <v>-18.7</v>
      </c>
      <c r="X27" s="41">
        <f>+T27+U27+V27+W27+0.1</f>
        <v>-48.199999999999996</v>
      </c>
      <c r="Y27" s="13">
        <v>-12.6</v>
      </c>
      <c r="AA27" s="101"/>
    </row>
    <row r="28" spans="1:27" ht="13.9" hidden="1" customHeight="1">
      <c r="A28" s="25" t="s">
        <v>99</v>
      </c>
      <c r="B28" s="13">
        <v>0</v>
      </c>
      <c r="C28" s="13">
        <v>0</v>
      </c>
      <c r="D28" s="13">
        <v>1.3</v>
      </c>
      <c r="E28" s="13">
        <v>0</v>
      </c>
      <c r="F28" s="13">
        <v>0</v>
      </c>
      <c r="G28" s="13">
        <v>0</v>
      </c>
      <c r="H28" s="13">
        <f t="shared" si="4"/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f t="shared" si="1"/>
        <v>0</v>
      </c>
      <c r="O28" s="13">
        <v>0</v>
      </c>
      <c r="P28" s="13">
        <v>0</v>
      </c>
      <c r="Q28" s="13">
        <v>0</v>
      </c>
      <c r="R28" s="13">
        <v>0</v>
      </c>
      <c r="S28" s="29">
        <f t="shared" si="15"/>
        <v>0</v>
      </c>
      <c r="T28" s="13">
        <v>0</v>
      </c>
      <c r="U28" s="13">
        <v>0</v>
      </c>
      <c r="V28" s="13">
        <v>0</v>
      </c>
      <c r="W28" s="13"/>
      <c r="X28" s="41">
        <v>0</v>
      </c>
      <c r="Y28" s="13">
        <v>0</v>
      </c>
      <c r="AA28" s="101"/>
    </row>
    <row r="29" spans="1:27" ht="13.9" customHeight="1">
      <c r="A29" s="23" t="s">
        <v>100</v>
      </c>
      <c r="B29" s="52">
        <v>-3.9000000000000075</v>
      </c>
      <c r="C29" s="52">
        <v>-14.899999999999995</v>
      </c>
      <c r="D29" s="52">
        <f>SUM(D21:D28)</f>
        <v>-24.5</v>
      </c>
      <c r="E29" s="52">
        <f>SUM(E21:E28)</f>
        <v>86.5</v>
      </c>
      <c r="F29" s="52">
        <v>-7.6</v>
      </c>
      <c r="G29" s="52">
        <v>-7.3000000000000007</v>
      </c>
      <c r="H29" s="52">
        <f t="shared" si="4"/>
        <v>-7.8999999999999968</v>
      </c>
      <c r="I29" s="76">
        <f t="shared" ref="I29:J29" si="18">SUM(I21:I28)</f>
        <v>63.7</v>
      </c>
      <c r="J29" s="76">
        <f t="shared" si="18"/>
        <v>65.699999999999989</v>
      </c>
      <c r="K29" s="76">
        <f t="shared" ref="K29:L29" si="19">SUM(K21:K28)</f>
        <v>-8</v>
      </c>
      <c r="L29" s="76">
        <f t="shared" si="19"/>
        <v>-7.9</v>
      </c>
      <c r="M29" s="76">
        <f t="shared" ref="M29" si="20">SUM(M21:M28)</f>
        <v>-7.9</v>
      </c>
      <c r="N29" s="76">
        <f t="shared" si="1"/>
        <v>41.899999999999991</v>
      </c>
      <c r="O29" s="76">
        <v>-7.9</v>
      </c>
      <c r="P29" s="76">
        <v>-7.9</v>
      </c>
      <c r="Q29" s="76">
        <f>SUM(Q21:Q28)</f>
        <v>86.199999999999989</v>
      </c>
      <c r="R29" s="76">
        <f t="shared" ref="R29:S29" si="21">SUM(R21:R28)</f>
        <v>59.20000000000001</v>
      </c>
      <c r="S29" s="76">
        <f t="shared" si="21"/>
        <v>129.6</v>
      </c>
      <c r="T29" s="76">
        <f t="shared" ref="T29:X29" si="22">SUM(T21:T28)</f>
        <v>15.700000000000001</v>
      </c>
      <c r="U29" s="76">
        <v>84.7</v>
      </c>
      <c r="V29" s="76">
        <v>55.8</v>
      </c>
      <c r="W29" s="76">
        <f>SUM(W21:W27)</f>
        <v>-27.1</v>
      </c>
      <c r="X29" s="40">
        <f t="shared" si="22"/>
        <v>129.10000000000002</v>
      </c>
      <c r="Y29" s="76">
        <f t="shared" ref="Y29" si="23">SUM(Y21:Y28)</f>
        <v>14.9</v>
      </c>
      <c r="AA29" s="101"/>
    </row>
    <row r="30" spans="1:27" s="21" customFormat="1" ht="13.9" customHeight="1">
      <c r="A30" s="26"/>
      <c r="B30" s="72"/>
      <c r="C30" s="72"/>
      <c r="D30" s="72"/>
      <c r="E30" s="72"/>
      <c r="F30" s="72"/>
      <c r="G30" s="72"/>
      <c r="H30" s="72">
        <f t="shared" si="4"/>
        <v>0</v>
      </c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28"/>
      <c r="Y30" s="85"/>
    </row>
    <row r="31" spans="1:27" s="21" customFormat="1" ht="13.9" customHeight="1">
      <c r="A31" s="27" t="s">
        <v>101</v>
      </c>
      <c r="B31" s="56">
        <v>-11.90000000000002</v>
      </c>
      <c r="C31" s="56">
        <v>-4.3999999999999915</v>
      </c>
      <c r="D31" s="56">
        <f>+D29+D19+D14</f>
        <v>72.699999999999989</v>
      </c>
      <c r="E31" s="56">
        <f>+E29+E19+E14</f>
        <v>87.299999999999983</v>
      </c>
      <c r="F31" s="56">
        <v>-40.699999999999989</v>
      </c>
      <c r="G31" s="56">
        <v>17.699999999999996</v>
      </c>
      <c r="H31" s="56">
        <f t="shared" si="4"/>
        <v>-24.699999999999982</v>
      </c>
      <c r="I31" s="78">
        <f t="shared" ref="I31:J31" si="24">+I29+I19+I14</f>
        <v>39.600000000000009</v>
      </c>
      <c r="J31" s="78">
        <f t="shared" si="24"/>
        <v>64.199999999999989</v>
      </c>
      <c r="K31" s="78">
        <f t="shared" ref="K31:L31" si="25">+K29+K19+K14</f>
        <v>31.699999999999996</v>
      </c>
      <c r="L31" s="78">
        <f t="shared" si="25"/>
        <v>-45.900000000000006</v>
      </c>
      <c r="M31" s="78">
        <f t="shared" ref="M31" si="26">+M29+M19+M14</f>
        <v>-19.7</v>
      </c>
      <c r="N31" s="78">
        <f t="shared" si="1"/>
        <v>30.299999999999976</v>
      </c>
      <c r="O31" s="78">
        <v>-40.09999999999998</v>
      </c>
      <c r="P31" s="78">
        <v>12.499999999999986</v>
      </c>
      <c r="Q31" s="78">
        <f>+Q29+Q19+Q14</f>
        <v>63.29999999999999</v>
      </c>
      <c r="R31" s="78">
        <f t="shared" ref="R31:S31" si="27">+R29+R19+R14</f>
        <v>24.200000000000017</v>
      </c>
      <c r="S31" s="78">
        <f t="shared" si="27"/>
        <v>59.900000000000006</v>
      </c>
      <c r="T31" s="78">
        <f t="shared" ref="T31:X31" si="28">+T29+T19+T14</f>
        <v>-44.399999999999991</v>
      </c>
      <c r="U31" s="78">
        <v>67.100000000000009</v>
      </c>
      <c r="V31" s="78">
        <v>-35.800000000000004</v>
      </c>
      <c r="W31" s="78">
        <f>+W14+W19+W29</f>
        <v>-3.4999999999999929</v>
      </c>
      <c r="X31" s="15">
        <f t="shared" si="28"/>
        <v>-16.599999999999909</v>
      </c>
      <c r="Y31" s="78">
        <f t="shared" ref="Y31" si="29">+Y29+Y19+Y14</f>
        <v>-44.099999999999994</v>
      </c>
    </row>
    <row r="32" spans="1:27" ht="13.9" customHeight="1">
      <c r="A32" s="26"/>
      <c r="B32" s="71"/>
      <c r="C32" s="71"/>
      <c r="D32" s="71"/>
      <c r="E32" s="71"/>
      <c r="F32" s="71"/>
      <c r="G32" s="71"/>
      <c r="H32" s="82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48"/>
      <c r="Y32" s="83"/>
    </row>
    <row r="33" spans="1:25" ht="13.9" customHeight="1">
      <c r="A33" s="22" t="s">
        <v>102</v>
      </c>
      <c r="B33" s="73">
        <v>97.300000000000011</v>
      </c>
      <c r="C33" s="73">
        <v>85.399999999999977</v>
      </c>
      <c r="D33" s="73">
        <v>8.3000000000000007</v>
      </c>
      <c r="E33" s="73">
        <v>81</v>
      </c>
      <c r="F33" s="73">
        <v>168.29999999999998</v>
      </c>
      <c r="G33" s="73">
        <v>127.6</v>
      </c>
      <c r="H33" s="86">
        <f>+G34</f>
        <v>145.29999999999998</v>
      </c>
      <c r="I33" s="87">
        <v>81</v>
      </c>
      <c r="J33" s="87">
        <f>+I34</f>
        <v>120.60000000000001</v>
      </c>
      <c r="K33" s="87">
        <f>+J34</f>
        <v>184.8</v>
      </c>
      <c r="L33" s="87">
        <f>+K34</f>
        <v>216.5</v>
      </c>
      <c r="M33" s="87">
        <f>+L34</f>
        <v>170.6</v>
      </c>
      <c r="N33" s="87">
        <f>+I34</f>
        <v>120.60000000000001</v>
      </c>
      <c r="O33" s="87">
        <v>150.89999999999998</v>
      </c>
      <c r="P33" s="87">
        <v>110.8</v>
      </c>
      <c r="Q33" s="87">
        <f>+P34</f>
        <v>123.29999999999998</v>
      </c>
      <c r="R33" s="87">
        <f t="shared" ref="R33:T33" si="30">+Q34</f>
        <v>186.59999999999997</v>
      </c>
      <c r="S33" s="87">
        <f>+N34</f>
        <v>150.89999999999998</v>
      </c>
      <c r="T33" s="87">
        <f t="shared" si="30"/>
        <v>210.79999999999998</v>
      </c>
      <c r="U33" s="87">
        <v>166.39999999999998</v>
      </c>
      <c r="V33" s="87">
        <v>233.5</v>
      </c>
      <c r="W33" s="87">
        <f>+V34</f>
        <v>197.7</v>
      </c>
      <c r="X33" s="49">
        <f>+S34</f>
        <v>210.79999999999998</v>
      </c>
      <c r="Y33" s="87">
        <f t="shared" ref="Y33" si="31">+X34</f>
        <v>194.20000000000007</v>
      </c>
    </row>
    <row r="34" spans="1:25" ht="13.9" customHeight="1">
      <c r="A34" s="23" t="s">
        <v>103</v>
      </c>
      <c r="B34" s="56">
        <v>85.399999999999991</v>
      </c>
      <c r="C34" s="56">
        <v>80.999999999999986</v>
      </c>
      <c r="D34" s="56">
        <f t="shared" ref="D34" si="32">SUM(D31:D33)</f>
        <v>80.999999999999986</v>
      </c>
      <c r="E34" s="56">
        <f t="shared" ref="E34:I34" si="33">SUM(E31:E33)</f>
        <v>168.29999999999998</v>
      </c>
      <c r="F34" s="56">
        <v>127.6</v>
      </c>
      <c r="G34" s="56">
        <v>145.29999999999998</v>
      </c>
      <c r="H34" s="56">
        <f>+H31+H33</f>
        <v>120.6</v>
      </c>
      <c r="I34" s="78">
        <f t="shared" si="33"/>
        <v>120.60000000000001</v>
      </c>
      <c r="J34" s="78">
        <f t="shared" ref="J34:K34" si="34">SUM(J31:J33)</f>
        <v>184.8</v>
      </c>
      <c r="K34" s="78">
        <f t="shared" si="34"/>
        <v>216.5</v>
      </c>
      <c r="L34" s="78">
        <f t="shared" ref="L34:M34" si="35">SUM(L31:L33)</f>
        <v>170.6</v>
      </c>
      <c r="M34" s="78">
        <f t="shared" si="35"/>
        <v>150.9</v>
      </c>
      <c r="N34" s="78">
        <f>+N31+N33</f>
        <v>150.89999999999998</v>
      </c>
      <c r="O34" s="78">
        <v>110.8</v>
      </c>
      <c r="P34" s="78">
        <v>123.29999999999998</v>
      </c>
      <c r="Q34" s="78">
        <f t="shared" ref="Q34:S34" si="36">SUM(Q31:Q33)</f>
        <v>186.59999999999997</v>
      </c>
      <c r="R34" s="78">
        <f t="shared" si="36"/>
        <v>210.79999999999998</v>
      </c>
      <c r="S34" s="78">
        <f t="shared" si="36"/>
        <v>210.79999999999998</v>
      </c>
      <c r="T34" s="78">
        <f t="shared" ref="T34:X34" si="37">SUM(T31:T33)</f>
        <v>166.39999999999998</v>
      </c>
      <c r="U34" s="78">
        <v>233.5</v>
      </c>
      <c r="V34" s="78">
        <v>197.7</v>
      </c>
      <c r="W34" s="78">
        <f>+W31+W33</f>
        <v>194.2</v>
      </c>
      <c r="X34" s="35">
        <f t="shared" si="37"/>
        <v>194.20000000000007</v>
      </c>
      <c r="Y34" s="78">
        <f t="shared" ref="Y34" si="38">SUM(Y31:Y33)</f>
        <v>150.10000000000008</v>
      </c>
    </row>
  </sheetData>
  <phoneticPr fontId="9" type="noConversion"/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H30:K34 L32:M32 Q32:Q33 O32 D14:O14 L33:O33 Q14:T14 R33 W14:X14 T33:U33 W33" unlockedFormula="1"/>
    <ignoredError sqref="S33 X33:Y33" formula="1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31FF2BCE666F4494F8BFAEE5D60E0B" ma:contentTypeVersion="15" ma:contentTypeDescription="Create a new document." ma:contentTypeScope="" ma:versionID="6d13b0ad8d2f51627a18eec8c01fe031">
  <xsd:schema xmlns:xsd="http://www.w3.org/2001/XMLSchema" xmlns:xs="http://www.w3.org/2001/XMLSchema" xmlns:p="http://schemas.microsoft.com/office/2006/metadata/properties" xmlns:ns2="5e099e1a-1e6a-4bdc-8624-f7e9c6c9fbf5" xmlns:ns3="333bc73e-c9dc-48db-aced-bf36dbeb209b" targetNamespace="http://schemas.microsoft.com/office/2006/metadata/properties" ma:root="true" ma:fieldsID="3fcc8a1df7024bd1861e640c9dedb91f" ns2:_="" ns3:_="">
    <xsd:import namespace="5e099e1a-1e6a-4bdc-8624-f7e9c6c9fbf5"/>
    <xsd:import namespace="333bc73e-c9dc-48db-aced-bf36dbeb209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99e1a-1e6a-4bdc-8624-f7e9c6c9fb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4007f78-8d19-4779-86bc-e97b55f164d6}" ma:internalName="TaxCatchAll" ma:showField="CatchAllData" ma:web="5e099e1a-1e6a-4bdc-8624-f7e9c6c9fb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bc73e-c9dc-48db-aced-bf36dbeb2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f1c041a-d327-41ff-b195-7a6a669727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e099e1a-1e6a-4bdc-8624-f7e9c6c9fbf5">
      <UserInfo>
        <DisplayName>Luiz Mendes</DisplayName>
        <AccountId>26</AccountId>
        <AccountType/>
      </UserInfo>
      <UserInfo>
        <DisplayName>Nicolai Saethre</DisplayName>
        <AccountId>436</AccountId>
        <AccountType/>
      </UserInfo>
    </SharedWithUsers>
    <TaxCatchAll xmlns="5e099e1a-1e6a-4bdc-8624-f7e9c6c9fbf5" xsi:nil="true"/>
    <lcf76f155ced4ddcb4097134ff3c332f xmlns="333bc73e-c9dc-48db-aced-bf36dbeb209b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B6F315-95B3-48EC-9E4E-28986AAE85B4}"/>
</file>

<file path=customXml/itemProps2.xml><?xml version="1.0" encoding="utf-8"?>
<ds:datastoreItem xmlns:ds="http://schemas.openxmlformats.org/officeDocument/2006/customXml" ds:itemID="{06D10D28-1D2F-4607-B9E7-463038DA0491}"/>
</file>

<file path=customXml/itemProps3.xml><?xml version="1.0" encoding="utf-8"?>
<ds:datastoreItem xmlns:ds="http://schemas.openxmlformats.org/officeDocument/2006/customXml" ds:itemID="{A5A4E74D-DEF2-4350-8675-8369F8D100C4}"/>
</file>

<file path=customXml/itemProps4.xml><?xml version="1.0" encoding="utf-8"?>
<ds:datastoreItem xmlns:ds="http://schemas.openxmlformats.org/officeDocument/2006/customXml" ds:itemID="{B0DDC3EC-6A3D-42F1-BFD7-F066B2E6CA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BW Offshore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 Kristian Bø-Alnes</dc:creator>
  <cp:keywords/>
  <dc:description/>
  <cp:lastModifiedBy/>
  <cp:revision/>
  <dcterms:created xsi:type="dcterms:W3CDTF">2012-05-08T13:41:05Z</dcterms:created>
  <dcterms:modified xsi:type="dcterms:W3CDTF">2024-05-23T19:09:43Z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0x0101005B31FF2BCE666F4494F8BFAEE5D60E0B</vt:lpwstr>
  </property>
  <property fmtid="{D5CDD505-2E9C-101B-9397-08002B2CF9AE}" pid="3" name="MediaServiceImageTags">
    <vt:lpwstr/>
  </property>
</Properties>
</file>